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8ed5d8acbfede929/Consultorías/POT Palmira/Expediente municipal/Expediente municipal - seguimiento año 2022/"/>
    </mc:Choice>
  </mc:AlternateContent>
  <xr:revisionPtr revIDLastSave="691" documentId="8_{61F7DDD0-4462-4007-B46A-55C0706EB2AF}" xr6:coauthVersionLast="47" xr6:coauthVersionMax="47" xr10:uidLastSave="{9741BB73-60E6-41A8-A3DC-FCC9AD13EECC}"/>
  <bookViews>
    <workbookView xWindow="-120" yWindow="-120" windowWidth="29040" windowHeight="15720" tabRatio="826" xr2:uid="{8BF46432-13E0-4FB3-9B91-89685527934F}"/>
  </bookViews>
  <sheets>
    <sheet name="INDICADORES DE MODELO" sheetId="7" r:id="rId1"/>
    <sheet name="Hoja3" sheetId="23" r:id="rId2"/>
    <sheet name="1.PAAPM " sheetId="1" r:id="rId3"/>
    <sheet name="2.PARCP" sheetId="12" r:id="rId4"/>
    <sheet name="3.PSPM" sheetId="8" r:id="rId5"/>
    <sheet name="4.PVRM" sheetId="25" r:id="rId6"/>
    <sheet name="5.CRA" sheetId="9" r:id="rId7"/>
    <sheet name="6.CRAT" sheetId="10" r:id="rId8"/>
    <sheet name="8.CRAC" sheetId="11" r:id="rId9"/>
    <sheet name="14.IEPE" sheetId="14" r:id="rId10"/>
    <sheet name="15.DCTV" sheetId="16" r:id="rId11"/>
    <sheet name="16.CSE" sheetId="17" r:id="rId12"/>
    <sheet name="17. PASV" sheetId="24" r:id="rId13"/>
    <sheet name="21.PHPM" sheetId="13" r:id="rId14"/>
    <sheet name="37.PSRTU" sheetId="3" r:id="rId15"/>
  </sheets>
  <externalReferences>
    <externalReference r:id="rId16"/>
    <externalReference r:id="rId17"/>
  </externalReferences>
  <definedNames>
    <definedName name="_xlnm._FilterDatabase" localSheetId="0" hidden="1">'INDICADORES DE MODELO'!#REF!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3" i="7" l="1"/>
  <c r="V22" i="7"/>
  <c r="V19" i="7"/>
  <c r="V18" i="7"/>
  <c r="V17" i="7"/>
  <c r="V16" i="7"/>
  <c r="C15" i="25"/>
  <c r="D16" i="25" s="1"/>
  <c r="V13" i="7"/>
  <c r="V11" i="7"/>
  <c r="V76" i="7" l="1"/>
  <c r="X74" i="7"/>
  <c r="V74" i="7"/>
  <c r="X80" i="7"/>
  <c r="V82" i="7"/>
  <c r="V83" i="7"/>
  <c r="J2" i="24"/>
  <c r="D4" i="24" s="1"/>
  <c r="D7" i="24" s="1"/>
  <c r="X87" i="7"/>
  <c r="X40" i="7" l="1"/>
  <c r="V40" i="7"/>
  <c r="X5" i="7"/>
  <c r="X96" i="7" s="1"/>
  <c r="X9" i="7"/>
  <c r="V9" i="7"/>
  <c r="E12" i="14"/>
  <c r="V10" i="7"/>
  <c r="F31" i="1"/>
  <c r="X69" i="7"/>
  <c r="V43" i="7" l="1"/>
  <c r="V44" i="7"/>
  <c r="V45" i="7"/>
  <c r="V46" i="7"/>
  <c r="V47" i="7"/>
  <c r="V48" i="7"/>
  <c r="V49" i="7"/>
  <c r="V50" i="7"/>
  <c r="V51" i="7"/>
  <c r="V52" i="7"/>
  <c r="V53" i="7"/>
  <c r="V42" i="7"/>
  <c r="V39" i="7"/>
  <c r="V37" i="7"/>
  <c r="D12" i="14"/>
  <c r="C12" i="14"/>
  <c r="D3" i="14"/>
  <c r="E3" i="14" s="1"/>
  <c r="E11" i="14"/>
  <c r="V54" i="7" l="1"/>
  <c r="X54" i="7" s="1"/>
  <c r="C10" i="16"/>
  <c r="C9" i="16"/>
  <c r="C8" i="16"/>
  <c r="H4" i="16"/>
  <c r="I4" i="16"/>
  <c r="X45" i="7" l="1"/>
  <c r="X50" i="7"/>
  <c r="X44" i="7"/>
  <c r="X49" i="7"/>
  <c r="X46" i="7"/>
  <c r="X52" i="7"/>
  <c r="X43" i="7"/>
  <c r="X48" i="7"/>
  <c r="X53" i="7"/>
  <c r="X42" i="7"/>
  <c r="X47" i="7"/>
  <c r="X51" i="7"/>
  <c r="E4" i="14"/>
  <c r="C17" i="17"/>
  <c r="D17" i="17"/>
  <c r="E17" i="17"/>
  <c r="F10" i="17"/>
  <c r="F11" i="17"/>
  <c r="F12" i="17"/>
  <c r="F13" i="17"/>
  <c r="F14" i="17"/>
  <c r="F15" i="17"/>
  <c r="F16" i="17"/>
  <c r="F9" i="17"/>
  <c r="E10" i="14"/>
  <c r="E9" i="14"/>
  <c r="E8" i="14"/>
  <c r="E7" i="14"/>
  <c r="E6" i="14"/>
  <c r="E5" i="14"/>
  <c r="F17" i="17" l="1"/>
  <c r="B3" i="17" s="1"/>
  <c r="X62" i="7"/>
  <c r="X63" i="7"/>
  <c r="X64" i="7"/>
  <c r="X65" i="7"/>
  <c r="X66" i="7"/>
  <c r="X67" i="7"/>
  <c r="X68" i="7"/>
  <c r="C96" i="7"/>
  <c r="P38" i="7"/>
  <c r="P36" i="7"/>
  <c r="L2" i="23" l="1"/>
  <c r="X56" i="7" l="1"/>
  <c r="X57" i="7"/>
  <c r="X58" i="7"/>
  <c r="X59" i="7"/>
  <c r="X60" i="7"/>
  <c r="X61" i="7"/>
  <c r="X55" i="7"/>
  <c r="X38" i="7"/>
  <c r="X36" i="7"/>
  <c r="R5" i="7"/>
  <c r="N5" i="7"/>
  <c r="J5" i="7"/>
  <c r="AA5" i="7" s="1"/>
  <c r="C9" i="12" l="1"/>
  <c r="F8" i="8"/>
  <c r="C19" i="11"/>
  <c r="C19" i="10"/>
  <c r="C18" i="9"/>
  <c r="C19" i="9" s="1"/>
  <c r="X16" i="7" s="1"/>
  <c r="F2" i="8"/>
  <c r="C13" i="8"/>
  <c r="D11" i="8"/>
  <c r="D13" i="8" s="1"/>
  <c r="F14" i="8" s="1"/>
  <c r="D19" i="3"/>
  <c r="D13" i="1"/>
  <c r="C20" i="10" l="1"/>
  <c r="X18" i="7" s="1"/>
  <c r="C20" i="11"/>
  <c r="X22" i="7" s="1"/>
  <c r="F13" i="8"/>
  <c r="F15" i="8" s="1"/>
  <c r="F19" i="3"/>
  <c r="E19" i="3"/>
  <c r="G13" i="3"/>
  <c r="G12" i="3"/>
  <c r="G14" i="3"/>
  <c r="G15" i="3"/>
  <c r="G16" i="3"/>
  <c r="G9" i="3"/>
  <c r="G8" i="3"/>
  <c r="D15" i="1"/>
  <c r="F40" i="1"/>
  <c r="F39" i="1"/>
  <c r="F37" i="1"/>
  <c r="F38" i="1"/>
  <c r="E11" i="1" s="1"/>
  <c r="E13" i="1" s="1"/>
  <c r="E15" i="1" s="1"/>
  <c r="G23" i="1"/>
  <c r="G33" i="1"/>
  <c r="G24" i="1"/>
  <c r="G34" i="1"/>
  <c r="G25" i="1"/>
  <c r="G26" i="1"/>
  <c r="G27" i="1"/>
  <c r="G28" i="1"/>
  <c r="G29" i="1"/>
  <c r="G30" i="1"/>
  <c r="G22" i="1"/>
  <c r="G21" i="1"/>
  <c r="G20" i="1"/>
  <c r="D31" i="1"/>
  <c r="G19" i="3" l="1"/>
  <c r="G21" i="3" s="1"/>
  <c r="G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3" authorId="0" shapeId="0" xr:uid="{D59A5170-DEE8-40D0-8228-D031803A0AD5}">
      <text>
        <r>
          <rPr>
            <sz val="11"/>
            <color theme="1"/>
            <rFont val="Arial"/>
            <family val="2"/>
          </rPr>
          <t>Revisar
	-Camila Baquero Calderón</t>
        </r>
      </text>
    </comment>
    <comment ref="J5" authorId="0" shapeId="0" xr:uid="{0F0835E0-E4DA-4C19-902B-25B4959F2AB3}">
      <text>
        <r>
          <rPr>
            <sz val="11"/>
            <color theme="1"/>
            <rFont val="Arial"/>
            <family val="2"/>
          </rPr>
          <t>Camila Baquero:
Por confirmar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D29" authorId="0" shapeId="0" xr:uid="{5FA37CA2-2D35-47E0-B6C3-15C347859B81}">
      <text>
        <r>
          <rPr>
            <b/>
            <sz val="9"/>
            <color indexed="81"/>
            <rFont val="Tahoma"/>
            <charset val="1"/>
          </rPr>
          <t>Usuario:</t>
        </r>
        <r>
          <rPr>
            <sz val="9"/>
            <color indexed="81"/>
            <rFont val="Tahoma"/>
            <charset val="1"/>
          </rPr>
          <t xml:space="preserve">
área inicial 243,2209</t>
        </r>
      </text>
    </comment>
    <comment ref="D30" authorId="0" shapeId="0" xr:uid="{5C14B546-EFF9-4830-80ED-DA5E24301D44}">
      <text>
        <r>
          <rPr>
            <b/>
            <sz val="9"/>
            <color indexed="81"/>
            <rFont val="Tahoma"/>
            <charset val="1"/>
          </rPr>
          <t>Usuario:</t>
        </r>
        <r>
          <rPr>
            <sz val="9"/>
            <color indexed="81"/>
            <rFont val="Tahoma"/>
            <charset val="1"/>
          </rPr>
          <t xml:space="preserve">
área inicial 392,4738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3" authorId="0" shapeId="0" xr:uid="{E92B157E-ECBB-44C5-97E7-4D6374187F14}">
      <text>
        <r>
          <rPr>
            <b/>
            <sz val="9"/>
            <color indexed="81"/>
            <rFont val="Tahoma"/>
            <charset val="1"/>
          </rPr>
          <t>Usuario:</t>
        </r>
        <r>
          <rPr>
            <sz val="9"/>
            <color indexed="81"/>
            <rFont val="Tahoma"/>
            <charset val="1"/>
          </rPr>
          <t xml:space="preserve">
se conservan porque no hay fuente al 2022 que actualice estas cifras</t>
        </r>
      </text>
    </comment>
    <comment ref="M3" authorId="0" shapeId="0" xr:uid="{5A587889-661D-48A5-AA5C-CD5A3CABE4AA}">
      <text>
        <r>
          <rPr>
            <b/>
            <sz val="9"/>
            <color indexed="81"/>
            <rFont val="Tahoma"/>
            <charset val="1"/>
          </rPr>
          <t>Usuario:</t>
        </r>
        <r>
          <rPr>
            <sz val="9"/>
            <color indexed="81"/>
            <rFont val="Tahoma"/>
            <charset val="1"/>
          </rPr>
          <t xml:space="preserve">
población proyectada al 2022 por DANE, se calcula viviendas y hogares según proporción obtenida al 2018</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4" authorId="0" shapeId="0" xr:uid="{6049154A-B0BB-4DC5-AC2C-588B8DD1DD2F}">
      <text>
        <r>
          <rPr>
            <b/>
            <sz val="9"/>
            <color indexed="81"/>
            <rFont val="Tahoma"/>
            <charset val="1"/>
          </rPr>
          <t>Usuario:</t>
        </r>
        <r>
          <rPr>
            <sz val="9"/>
            <color indexed="81"/>
            <rFont val="Tahoma"/>
            <charset val="1"/>
          </rPr>
          <t xml:space="preserve">
se conservan porque no hay fuente al 2022 que actualice estas cifras</t>
        </r>
      </text>
    </comment>
    <comment ref="J4" authorId="0" shapeId="0" xr:uid="{6FC791D5-593C-429F-8AC8-798D317F7E86}">
      <text>
        <r>
          <rPr>
            <b/>
            <sz val="9"/>
            <color indexed="81"/>
            <rFont val="Tahoma"/>
            <charset val="1"/>
          </rPr>
          <t>Usuario:</t>
        </r>
        <r>
          <rPr>
            <sz val="9"/>
            <color indexed="81"/>
            <rFont val="Tahoma"/>
            <charset val="1"/>
          </rPr>
          <t xml:space="preserve">
población proyectada al 2022 por DANE, se calcula viviendas y hogares según proporción obtenida al 2018</t>
        </r>
      </text>
    </comment>
  </commentList>
</comments>
</file>

<file path=xl/sharedStrings.xml><?xml version="1.0" encoding="utf-8"?>
<sst xmlns="http://schemas.openxmlformats.org/spreadsheetml/2006/main" count="857" uniqueCount="515">
  <si>
    <t>PNN Las Hermosas</t>
  </si>
  <si>
    <t>PNR del Nima</t>
  </si>
  <si>
    <t>RF Ley Segunda de 1959 - Central</t>
  </si>
  <si>
    <t>RFPN de Amaime</t>
  </si>
  <si>
    <t>RFPR La Albania - La Esmeralda</t>
  </si>
  <si>
    <t>RRN Humedal Timbique</t>
  </si>
  <si>
    <t>RRN Madrevieja Villa Ines</t>
  </si>
  <si>
    <t xml:space="preserve">Acto Administrativo </t>
  </si>
  <si>
    <t>Resolución Ejecutiva N° 158 de junio de 1977 del Ministerio de Agricultura que aprueba el Acuerdo 0019 del 2 de mayo de 1977 de INDERENA (Incluye los límites del área protegida). Mediante la Ley 1536 de 2012 (Artículo 5), se ajusta su denominación como Parque Nacional Natural Las Hermosas – Gloria Valencia de Castaño y se establece que dentro del año siguiente a la expedición de dicha Ley</t>
  </si>
  <si>
    <t xml:space="preserve">Acuerdo CVC 067 del 15 de Diciembre  2006 </t>
  </si>
  <si>
    <t xml:space="preserve">Ley Segunda de 1959 </t>
  </si>
  <si>
    <t>Resolución 17 de 1938</t>
  </si>
  <si>
    <t>Acuerdo 4 de 1979</t>
  </si>
  <si>
    <t>Acuerdo 038 del 2007</t>
  </si>
  <si>
    <t xml:space="preserve">Area Protegida de Orden Nacional y Regional  </t>
  </si>
  <si>
    <t>Area Total</t>
  </si>
  <si>
    <t xml:space="preserve">Area total Municipio </t>
  </si>
  <si>
    <t>Area (Ha)</t>
  </si>
  <si>
    <t xml:space="preserve">Plan de Manejo </t>
  </si>
  <si>
    <t>20 de Julio del 2005</t>
  </si>
  <si>
    <t>Plan de Manejo se encuentra en proceso de elaboracion (licitacion 2021) https://www.licitacionescolombia.co/branch/consultoria-medioambiental/plan-de-manejo-ambiental-parque-natural-regional-del-nima?searchProfileId=627276&amp;user=&amp;token=&amp;uuid=6ac8e5ab-a501-449d-996b-7b6521633ea8</t>
  </si>
  <si>
    <t xml:space="preserve">Pendiente </t>
  </si>
  <si>
    <t>La Aurora</t>
  </si>
  <si>
    <t>La Cascada</t>
  </si>
  <si>
    <t>La Lucha</t>
  </si>
  <si>
    <t>El Entamborado</t>
  </si>
  <si>
    <t>Nombre RNSC</t>
  </si>
  <si>
    <t>Resolucion</t>
  </si>
  <si>
    <t>Cristal</t>
  </si>
  <si>
    <t>Penalisa</t>
  </si>
  <si>
    <t>San Rafael</t>
  </si>
  <si>
    <t>Las Brisas</t>
  </si>
  <si>
    <t>Campo Alegre</t>
  </si>
  <si>
    <t>El Fuerte</t>
  </si>
  <si>
    <t>Peru</t>
  </si>
  <si>
    <t>El Tenjo</t>
  </si>
  <si>
    <t>El Laurel y El Recreo</t>
  </si>
  <si>
    <t>149 del 8/10/2015</t>
  </si>
  <si>
    <t>158 del 29/10/2015</t>
  </si>
  <si>
    <t>100 del 27/06/2019</t>
  </si>
  <si>
    <t>14 del 10/02/2014</t>
  </si>
  <si>
    <t>74 del 23/06/2015</t>
  </si>
  <si>
    <t>84 del 4/06/2019</t>
  </si>
  <si>
    <t>63 del 28/05/2015</t>
  </si>
  <si>
    <t xml:space="preserve">208 del 28/12/2018 </t>
  </si>
  <si>
    <t>164 del 22/10/2018</t>
  </si>
  <si>
    <t>165 del 22/10/2018</t>
  </si>
  <si>
    <t xml:space="preserve">83 del 4/06/2019 </t>
  </si>
  <si>
    <t>12 del 14/03/2016</t>
  </si>
  <si>
    <t>211 del 28/12/2018</t>
  </si>
  <si>
    <t xml:space="preserve">Total </t>
  </si>
  <si>
    <t>Areas de la Sociedad Civil (no presenta superposición con otra area de protección ya declarada)</t>
  </si>
  <si>
    <t>Area Total (ha)</t>
  </si>
  <si>
    <t xml:space="preserve">Area con sobreposición  con Areas de conservación </t>
  </si>
  <si>
    <t>Area Sin superposción</t>
  </si>
  <si>
    <t>Indicador PAAPM = AAPM / ATM</t>
  </si>
  <si>
    <t xml:space="preserve">Area total Plan de Manejo </t>
  </si>
  <si>
    <t>Area total áreas protegidas</t>
  </si>
  <si>
    <r>
      <t xml:space="preserve">PSMP </t>
    </r>
    <r>
      <rPr>
        <sz val="10"/>
        <color theme="1"/>
        <rFont val="Arial"/>
        <family val="2"/>
      </rPr>
      <t>= APM/ATSPM</t>
    </r>
  </si>
  <si>
    <t>Clase Uso Potencial</t>
  </si>
  <si>
    <t>C</t>
  </si>
  <si>
    <t>C-AFPr(2)</t>
  </si>
  <si>
    <t>INF</t>
  </si>
  <si>
    <t>IV</t>
  </si>
  <si>
    <t>V</t>
  </si>
  <si>
    <t>VI</t>
  </si>
  <si>
    <t>VII</t>
  </si>
  <si>
    <t>Áreas para conservación y Protección Ambiental</t>
  </si>
  <si>
    <t>Áreas forestales de producción</t>
  </si>
  <si>
    <t>Áreas forestales de protección</t>
  </si>
  <si>
    <t>Áreas con Humedales y Rios</t>
  </si>
  <si>
    <t>Áreas para Recuperación por Mineria</t>
  </si>
  <si>
    <t>Tierra para Cultivos</t>
  </si>
  <si>
    <t>Tierra para Cultivos- Áreas forestales de producción 2</t>
  </si>
  <si>
    <t xml:space="preserve">Infraestructura </t>
  </si>
  <si>
    <t>Zona Urbana</t>
  </si>
  <si>
    <t>Clase agrológica II</t>
  </si>
  <si>
    <t>Clase agrológica III</t>
  </si>
  <si>
    <t>Clase agrológica IV</t>
  </si>
  <si>
    <t>Clase agrológica V</t>
  </si>
  <si>
    <t>Clase agrológica VI</t>
  </si>
  <si>
    <t>Clase agrológica VII</t>
  </si>
  <si>
    <t>Clase agrológica VIII</t>
  </si>
  <si>
    <t xml:space="preserve">Reservas de la Sociedad Civil </t>
  </si>
  <si>
    <t>Area total  (Ha)</t>
  </si>
  <si>
    <t xml:space="preserve">Elementos sistema Hidrico </t>
  </si>
  <si>
    <t>Area Acuerdo 028 del 2014 (Ha)</t>
  </si>
  <si>
    <t xml:space="preserve">Area (Ha)
Ajuste Limite Municipal </t>
  </si>
  <si>
    <t xml:space="preserve">Rondas Actual </t>
  </si>
  <si>
    <t>Rondas (no presenta superposición con otra area de protección ya declarada)</t>
  </si>
  <si>
    <t>Rondas Acuerdo 028</t>
  </si>
  <si>
    <t>Humedales- Lagunas Acuerdo 028</t>
  </si>
  <si>
    <t>Humedales- Lagunas Actuales</t>
  </si>
  <si>
    <t>N/A</t>
  </si>
  <si>
    <t xml:space="preserve">Indicador  </t>
  </si>
  <si>
    <t xml:space="preserve">Area Total </t>
  </si>
  <si>
    <t xml:space="preserve">Area en Suelo Urbano </t>
  </si>
  <si>
    <t xml:space="preserve">Area en Suelo de Expansión </t>
  </si>
  <si>
    <t>Total</t>
  </si>
  <si>
    <t xml:space="preserve">Area Rural Municipio </t>
  </si>
  <si>
    <t>Indicador PSRTU = ASRTU / ASR</t>
  </si>
  <si>
    <t>Tema</t>
  </si>
  <si>
    <t>Identificador del indicador</t>
  </si>
  <si>
    <t>Nombre del indicador</t>
  </si>
  <si>
    <t>Variables</t>
  </si>
  <si>
    <t>Fuente</t>
  </si>
  <si>
    <t>*ACPtA</t>
  </si>
  <si>
    <t>*AFPr</t>
  </si>
  <si>
    <t>*AFPt</t>
  </si>
  <si>
    <t>*AHR</t>
  </si>
  <si>
    <t>*ARMI</t>
  </si>
  <si>
    <t>*II</t>
  </si>
  <si>
    <t>*III</t>
  </si>
  <si>
    <t>*VIII</t>
  </si>
  <si>
    <t>*ZU</t>
  </si>
  <si>
    <t>AMBIENTE Y RECURSOS NATURALES</t>
  </si>
  <si>
    <t>Área (hectáreas) declaradas como área natural protegida de caracter municipal</t>
  </si>
  <si>
    <t>Área total municipal</t>
  </si>
  <si>
    <t>RIESGO</t>
  </si>
  <si>
    <t>Porcentaje de viviendas en zona de riesgo mitigable por fenómenos (de remosión en masa, inundación y erupción volcánica) para el municipio en el año de análisis</t>
  </si>
  <si>
    <t>SERVICIOS PUBLICOS</t>
  </si>
  <si>
    <t>CRA</t>
  </si>
  <si>
    <t>Cobertura de Acueducto: Porcentaje de viviendas con conexión a a las redes de acueducto por unidad de análisis (urbano-rural-municipal)</t>
  </si>
  <si>
    <t>Número de viviendas con conexión a la red de acueducto por unidad de análisis (urbano-rural-municipal)</t>
  </si>
  <si>
    <t>Número total de viviendas en el municipio para el año de análisis</t>
  </si>
  <si>
    <t>CRAT</t>
  </si>
  <si>
    <t>Cobertura del agua tratada: Porcentaje de viviendas que reciben agua tratada con servicio de acueducto por unidad de análisis (urbano-rural-municipal)</t>
  </si>
  <si>
    <t>Número de viviendas que reciben agua tratada por unidad de análisis (urbano-rural-municipal)</t>
  </si>
  <si>
    <t>Número de viviendas conectadas a la red de acueducto por unidad de análisis (urbano-rural-municipal) en el municipio para el año de análisis</t>
  </si>
  <si>
    <t>PMHA</t>
  </si>
  <si>
    <t>Promedio mensual del número de horas de prestación del servicio de acueducto</t>
  </si>
  <si>
    <t>Número de horas prestación del servicio de acueducto al mes por unidad de análisis (urbano-rural-municipal)</t>
  </si>
  <si>
    <t>Total de horas de un mes (720)</t>
  </si>
  <si>
    <t>CRAC</t>
  </si>
  <si>
    <t>Cobertura del servicio de alcantarillado: Porcentaje de viviendas con conexión a a las redes de alcantarillado por unidad de análisis (urbano-rural-municipal)</t>
  </si>
  <si>
    <t>Número de viviendas con conexión a la red alcantarillado por unidad de análisis (urbano-rural-municipal)</t>
  </si>
  <si>
    <t>PAST</t>
  </si>
  <si>
    <t>Porcentaje de aguas servidas tratadas</t>
  </si>
  <si>
    <t>Metros cúbicos de aguas servidas tratadas al mes</t>
  </si>
  <si>
    <t>Metros cúbicos totales de agua servidas</t>
  </si>
  <si>
    <t>IEPE</t>
  </si>
  <si>
    <t>Indice de espacio público efectivo (m2/hab)</t>
  </si>
  <si>
    <t>M2 de espacio público efectivo en parques, plazas y zonas verdes</t>
  </si>
  <si>
    <t>*Falta recolectar la información de las comunas 1 y 2 y del área rural</t>
  </si>
  <si>
    <t>Número total de personas que habitan en el municipio para el año de análisis</t>
  </si>
  <si>
    <t>DCTV</t>
  </si>
  <si>
    <t>EQUIPAMIENTOS</t>
  </si>
  <si>
    <t>Secretaria de Educación</t>
  </si>
  <si>
    <t>VÍAS</t>
  </si>
  <si>
    <t>PASV</t>
  </si>
  <si>
    <t>Kilómetros de vías municipales acondicionadas por tipo (fluvial, aéreo, terrestre)</t>
  </si>
  <si>
    <t>Total de Kilómetros de vías municipales acondicionadas.</t>
  </si>
  <si>
    <t>Porcentaje de área para la conservación y protección del medio ambiente de carácter municipal intervenida por tipo (conservación activa, preservación estricta y /o regeneración y mejoramiento</t>
  </si>
  <si>
    <t xml:space="preserve">
PHPM</t>
  </si>
  <si>
    <t>Porcetaje de humedales que cuenta con planes de manejo</t>
  </si>
  <si>
    <t>CVC</t>
  </si>
  <si>
    <t>PPR</t>
  </si>
  <si>
    <t>Porcentaje de población reasentada</t>
  </si>
  <si>
    <t>PAMAAI</t>
  </si>
  <si>
    <t>Porcentaje de área de microcuencas abastecedoras de acueducto intervenidas (conservadas, protegidas y recuperadas) para el municipio en el año de análisis</t>
  </si>
  <si>
    <t>Área (hectáreas) de microcuencas abastecedoras de acueducto intervenidas (conservadas, protegidas y recuperadas)</t>
  </si>
  <si>
    <t>Área total (hectáreas) de microcuencas abastecedoras de acueducto por tipo de intervención (conservadas, protegidas y recuperadas) propuesta en el POT</t>
  </si>
  <si>
    <t>PMLRI</t>
  </si>
  <si>
    <t>Porcentaje de metros lineales de redes (acueducto, energía, alcantarillado) intervenidas (reposición, mantenimiento, construcción) para el municipio en el año de análisis</t>
  </si>
  <si>
    <t>Metros lineales de redes (acueducto, energía, alcantarillado) intervenidas (reposición, mantenimiento, construcción) para el municipio en el año de análisis</t>
  </si>
  <si>
    <t>Aquaoccidente  y Celsia</t>
  </si>
  <si>
    <t>Metros lineales totales de redes por tipo (acueducto, energía, alcantarillado) que deben ser sometidas a intervención (reposición, mantenimiento, construcción) de acuerdo con lo dispuesto en el POT</t>
  </si>
  <si>
    <t>PMSRSI</t>
  </si>
  <si>
    <t>Porcentaje de utilización del sistema de disposición final de residuos sólidos para el municipio para el año de análisis</t>
  </si>
  <si>
    <t>Metros cúbicos del sistema de disposición final de residuos sólidos utilizados en el municipio para el año de análisis</t>
  </si>
  <si>
    <t>Veolia</t>
  </si>
  <si>
    <t>Total de metros cúbicos del sistema de disposición final de residuos sólidos (Relleno Sanitario y Escombrera) de acuerdo con lo dispuesto en el POT</t>
  </si>
  <si>
    <t>ESPACIO 
PUBLICO</t>
  </si>
  <si>
    <t>VIVIENDA</t>
  </si>
  <si>
    <t>OSVIS</t>
  </si>
  <si>
    <t>Oferta de suelo para VIS</t>
  </si>
  <si>
    <t>Porcentaje de establecimientos educactivos intervenidos por tipo en el municipio para el año de análisis</t>
  </si>
  <si>
    <t>PVI</t>
  </si>
  <si>
    <t>Porcentaje de vías (urbanas y rurales) intervenidas (pavimentadas, construidas o mantenidas) en el municipio para el año de análisis</t>
  </si>
  <si>
    <t>Kilómetros de vías (urbanas y rurales) según nivel de intervención (pavimentadas, construidas y mantenidas) en el municipio para el año de análisis</t>
  </si>
  <si>
    <t>Secretaria de Infraestructura
(Intervención)</t>
  </si>
  <si>
    <t>Kilómetros de vías (urbanas y rurales) que deben ser intervenidas (pavimentadas, construidas y mantenidas) en el municipio según el POT</t>
  </si>
  <si>
    <t>Porcentaje de acondicionamiento del sistema vial</t>
  </si>
  <si>
    <t xml:space="preserve">Secretaria de Infraestructura
</t>
  </si>
  <si>
    <t>Porcentaje de suelo urbano por tipo de uso (residencial, institucional, comercial) para el año de análisis</t>
  </si>
  <si>
    <t>PSRTU</t>
  </si>
  <si>
    <t>Porcentaje de suelo rural por tipo de uso (agropecuario, forestal, minero, entre otras actividades económicas)</t>
  </si>
  <si>
    <t>Área total del suelo rural (hectáreas) para el año de análisis</t>
  </si>
  <si>
    <t>PATRIMONIO</t>
  </si>
  <si>
    <t>PBICN</t>
  </si>
  <si>
    <t xml:space="preserve">
Porcentaje BIC del Municipio en buen estado por nivel</t>
  </si>
  <si>
    <t>Secretaria de Cultura</t>
  </si>
  <si>
    <t>ID</t>
  </si>
  <si>
    <t xml:space="preserve">Acuerdo 028 del 2014
POT vigente </t>
  </si>
  <si>
    <t xml:space="preserve">Area Total  Conservacion y Proteccion Ambiental </t>
  </si>
  <si>
    <t xml:space="preserve">Se cuenta con longitudes de redes de acueduto y energia, sin embargo no son intervenidas. </t>
  </si>
  <si>
    <t>Comuna</t>
  </si>
  <si>
    <t>Porcentaje de  cobertura acueducto</t>
  </si>
  <si>
    <t>Porcentaje de alcantarillado</t>
  </si>
  <si>
    <t>CRA = NVCRA / NV</t>
  </si>
  <si>
    <t>CRAT = NVCRAT / NVCRA</t>
  </si>
  <si>
    <t>CRAC = NVCRAC / NTV</t>
  </si>
  <si>
    <t>SI</t>
  </si>
  <si>
    <t xml:space="preserve">SI </t>
  </si>
  <si>
    <t>NO</t>
  </si>
  <si>
    <t xml:space="preserve">Informacion disponible  Variable Independiente
(SI-NO) </t>
  </si>
  <si>
    <t xml:space="preserve">NO </t>
  </si>
  <si>
    <t>SI ( Sin embargo la informacion no esta relacionada por el numero de viviendas)</t>
  </si>
  <si>
    <t xml:space="preserve">Municipal </t>
  </si>
  <si>
    <t xml:space="preserve">Urbana </t>
  </si>
  <si>
    <t xml:space="preserve">Rural </t>
  </si>
  <si>
    <t>Si ( Sin embargo la informacion no esta relacionada por el numero de viviendas por zona)</t>
  </si>
  <si>
    <t>SI ( Sin embargo la informacion no esta relacionada por el numero de viviendas por zona)</t>
  </si>
  <si>
    <t xml:space="preserve">Fluvial </t>
  </si>
  <si>
    <t>Terrestre</t>
  </si>
  <si>
    <t xml:space="preserve">Tipo- Zona </t>
  </si>
  <si>
    <t>Urbana</t>
  </si>
  <si>
    <t xml:space="preserve">Conservadas </t>
  </si>
  <si>
    <t>CVC- 
Secretaria de Ambiente</t>
  </si>
  <si>
    <t xml:space="preserve">Urbano -RM </t>
  </si>
  <si>
    <t>*Reforestación
*Obras de adecuación
* Destinadas a Suelo de Protección</t>
  </si>
  <si>
    <t xml:space="preserve">Acueducto </t>
  </si>
  <si>
    <t xml:space="preserve">Energia </t>
  </si>
  <si>
    <t xml:space="preserve">Alcantarillado </t>
  </si>
  <si>
    <t xml:space="preserve">Tener en cuenta lo definido en el POT con relacion a la disposicion de los residuos. </t>
  </si>
  <si>
    <t xml:space="preserve">Tener en cuenta que se indica lo establecido en el POT </t>
  </si>
  <si>
    <t>Pavimentadas</t>
  </si>
  <si>
    <t>Mantenidas</t>
  </si>
  <si>
    <t xml:space="preserve">Urbana
Rural </t>
  </si>
  <si>
    <t>Pavimentadas (POT)</t>
  </si>
  <si>
    <t>Contruidas (POT)</t>
  </si>
  <si>
    <t>Mantenidas (POT)</t>
  </si>
  <si>
    <t>Municipal (POT)</t>
  </si>
  <si>
    <t>*Reposición(POT)
*Mantenimiento (POT)
*Construcción (POT)</t>
  </si>
  <si>
    <t xml:space="preserve">*Reposición
*Mantenimiento 
*Construcción </t>
  </si>
  <si>
    <t>Conservadas (Pot)</t>
  </si>
  <si>
    <t xml:space="preserve">Áereo </t>
  </si>
  <si>
    <t xml:space="preserve">Total Municipal </t>
  </si>
  <si>
    <t xml:space="preserve">Agropecuaria </t>
  </si>
  <si>
    <t xml:space="preserve">Forestal </t>
  </si>
  <si>
    <t xml:space="preserve">Mineria </t>
  </si>
  <si>
    <t xml:space="preserve">Otras </t>
  </si>
  <si>
    <t xml:space="preserve">1 Nivel :Conservación integral </t>
  </si>
  <si>
    <t>Nivel 2. Conservación del tipo arquitectónico.</t>
  </si>
  <si>
    <t>Nivel 3. Conservación contextual. S</t>
  </si>
  <si>
    <t>Se cuenta con informacion relacionada con los BIC, sin embargo no se cuenta con el nivel ni  estado actual.</t>
  </si>
  <si>
    <t>LIGERA</t>
  </si>
  <si>
    <t>MODERADA</t>
  </si>
  <si>
    <t>MUY SEVERA</t>
  </si>
  <si>
    <t>SEVERA</t>
  </si>
  <si>
    <t xml:space="preserve">Grado de Erosión </t>
  </si>
  <si>
    <t>Areá (ha)</t>
  </si>
  <si>
    <t>Fuente:  Erosión del suelo esc. 50.000 (CVC)</t>
  </si>
  <si>
    <t>Fuente : Capas POT Vigente Acuerdo 028 del 2014</t>
  </si>
  <si>
    <t>Se cuenta con la capa de Lagunas del POT Vigente (acuerdo 028 del 2014), y la capa de huella de humedal descargada del Geovisor de la CVC, sin embargo se realizo la solicitud a la CVC del inventario de humedales para el municipio de Palmira.</t>
  </si>
  <si>
    <t>LAGUNAS</t>
  </si>
  <si>
    <t xml:space="preserve"> </t>
  </si>
  <si>
    <t xml:space="preserve"> LAGO BOSQUE MUNICIPAL</t>
  </si>
  <si>
    <t>LAGO DEL PATO</t>
  </si>
  <si>
    <t>LAGO LA SIRENA</t>
  </si>
  <si>
    <t>LAGO LOPEZ</t>
  </si>
  <si>
    <t>LAGO LOS NEVADOS O LAS MORALES</t>
  </si>
  <si>
    <t>LAGO MARMOLEJO</t>
  </si>
  <si>
    <t>LAGO SANTA RITA</t>
  </si>
  <si>
    <t>LAGO VALLE BONITO</t>
  </si>
  <si>
    <t>LAGOS DE MARACAIBO</t>
  </si>
  <si>
    <t>LAGOS LA SIRENITA</t>
  </si>
  <si>
    <t>LAGUNA CAMPOALEGRE</t>
  </si>
  <si>
    <t>LAGUNA EL BRILLANTE</t>
  </si>
  <si>
    <t>LAGUNA HOYO FRIO</t>
  </si>
  <si>
    <t>LAGUNA LA EMPEDRADA</t>
  </si>
  <si>
    <t>LAGUNA LA FLORIDA</t>
  </si>
  <si>
    <t>LAGUNA LA NEGRA</t>
  </si>
  <si>
    <t>LAGUNA LAS COLINAS</t>
  </si>
  <si>
    <t>LAGUNA LAS COLONIAS</t>
  </si>
  <si>
    <t>LAGUNA MIRAFLOR</t>
  </si>
  <si>
    <t>LAGUNA SANTA TERESA</t>
  </si>
  <si>
    <t>LAGUNA SECA</t>
  </si>
  <si>
    <t>LAGUNAS LAS AURAS</t>
  </si>
  <si>
    <t>LAGUNAS LAS COLONIAS</t>
  </si>
  <si>
    <t>POZO SANTA CECILIA</t>
  </si>
  <si>
    <t>Nombre</t>
  </si>
  <si>
    <t xml:space="preserve">Tipo </t>
  </si>
  <si>
    <t>NOMBRE</t>
  </si>
  <si>
    <t>AREA_HA</t>
  </si>
  <si>
    <t>Tortuga</t>
  </si>
  <si>
    <t>Las Cordobas</t>
  </si>
  <si>
    <t>Villa Ines</t>
  </si>
  <si>
    <t>Guadualito</t>
  </si>
  <si>
    <t>Pelongo</t>
  </si>
  <si>
    <t>Higueron</t>
  </si>
  <si>
    <t>SI *</t>
  </si>
  <si>
    <t>Zona de interes</t>
  </si>
  <si>
    <t>M2 EPE</t>
  </si>
  <si>
    <t>Indicador</t>
  </si>
  <si>
    <t>Área urbana</t>
  </si>
  <si>
    <t>COMUNA 1</t>
  </si>
  <si>
    <t>COMUNA 2</t>
  </si>
  <si>
    <t>COMUNA 3</t>
  </si>
  <si>
    <t>COMUNA 4</t>
  </si>
  <si>
    <t>COMUNA 5</t>
  </si>
  <si>
    <t>COMUNA 6</t>
  </si>
  <si>
    <t>COMUNA 7</t>
  </si>
  <si>
    <t>SI*</t>
  </si>
  <si>
    <t>?</t>
  </si>
  <si>
    <t>NOMBRE DEPARTAMENTO</t>
  </si>
  <si>
    <t>NOMBRE MUNICIPIO</t>
  </si>
  <si>
    <t xml:space="preserve">Total unidades de vivienda con personas ausentes </t>
  </si>
  <si>
    <t xml:space="preserve">Total unidades de vivienda de uso temporal </t>
  </si>
  <si>
    <t xml:space="preserve">Total unidades de vivienda desocupadas </t>
  </si>
  <si>
    <t xml:space="preserve">Total unidades de vivienda con personas presentes </t>
  </si>
  <si>
    <t>Unidades de vivienda</t>
  </si>
  <si>
    <t>Hogares</t>
  </si>
  <si>
    <t>Población</t>
  </si>
  <si>
    <t>Valle del Cauca</t>
  </si>
  <si>
    <t>Palmira</t>
  </si>
  <si>
    <t xml:space="preserve">SI* </t>
  </si>
  <si>
    <t xml:space="preserve">Se cuenta con informacion relacionada al porcentaje de servicio por comuna
* Se cuenta con el numero total de viviendas para el municipio, sin embargo no se define la diferenciación de rural y urbano. </t>
  </si>
  <si>
    <r>
      <t>DCTV</t>
    </r>
    <r>
      <rPr>
        <sz val="10"/>
        <color theme="1"/>
        <rFont val="Arial"/>
        <family val="2"/>
      </rPr>
      <t xml:space="preserve"> = NTHM / NTV</t>
    </r>
  </si>
  <si>
    <t>Numero total de hogares</t>
  </si>
  <si>
    <t xml:space="preserve">Numero total de viviendas </t>
  </si>
  <si>
    <t xml:space="preserve">Cantidad </t>
  </si>
  <si>
    <t xml:space="preserve">Item </t>
  </si>
  <si>
    <t>Matrícula por nivel, por sector y por zona</t>
  </si>
  <si>
    <t>Prejardín</t>
  </si>
  <si>
    <t>Jardín</t>
  </si>
  <si>
    <t>Transición</t>
  </si>
  <si>
    <t>Básica Primaria</t>
  </si>
  <si>
    <t>Básica Secundaria</t>
  </si>
  <si>
    <t>Media</t>
  </si>
  <si>
    <t>Ciclos</t>
  </si>
  <si>
    <t>Pob. Con Discapacidad</t>
  </si>
  <si>
    <t>Totales</t>
  </si>
  <si>
    <t xml:space="preserve">Fenomeno </t>
  </si>
  <si>
    <t xml:space="preserve">Movimiento en masa </t>
  </si>
  <si>
    <t xml:space="preserve">Grado </t>
  </si>
  <si>
    <t>RIESGO MEDIO O MITIGABLE</t>
  </si>
  <si>
    <t>Fuente : Capas Acuerdo 028 del 2014</t>
  </si>
  <si>
    <t xml:space="preserve"># Total de viviendas en riesgo </t>
  </si>
  <si>
    <t># de viviendas riesgo medio o mitigable</t>
  </si>
  <si>
    <t>Total estudiantes matriculados 2020</t>
  </si>
  <si>
    <t>Elemento del Modelo</t>
  </si>
  <si>
    <t>Una Estructura Ecológica Principal compuesta por un sistema de áreas protegidas en las que se destacan el Parque Nacional Natural Las Hermosas y la Reserva Forestal Central, los elementos del sistema hídrico: principalmente el Basin del río Cauca y las cuencas de los ríos Cauca, Amaime, Nima, Aguaclara, Palmira, Guachal, Bolo y Frayle el sistema orográfico, las Reservas municipales y los Parques municipales.</t>
  </si>
  <si>
    <t>Una aglomeración industrial y de servicios y un núcleo de equipamientos de escala regional en torno al aeropuerto internacional.</t>
  </si>
  <si>
    <t>Una red vial y férrea de equipamientos que integra los componentes anteriores.</t>
  </si>
  <si>
    <t>LÍNEA BASE</t>
  </si>
  <si>
    <t>META</t>
  </si>
  <si>
    <t>AVANCE (2002 - 2007)</t>
  </si>
  <si>
    <t>AVANCE (2008 - 2011)</t>
  </si>
  <si>
    <t>AVANCE(2012 -2015)</t>
  </si>
  <si>
    <t>AVANCE TOTAL</t>
  </si>
  <si>
    <t>OBSERVACIONES</t>
  </si>
  <si>
    <t>Valor de indicador a la aprobación del POT</t>
  </si>
  <si>
    <t>Año a que se refiere el indicador</t>
  </si>
  <si>
    <t>Valor a obtener</t>
  </si>
  <si>
    <t>Año en que va a ser alcanzado</t>
  </si>
  <si>
    <t>Valor observado</t>
  </si>
  <si>
    <t>Año</t>
  </si>
  <si>
    <t>Inventario de Espacio Público  Secretaria de Planeación</t>
  </si>
  <si>
    <t xml:space="preserve">% de  hogares en Déficit 
Cuantitativo de Vivienda </t>
  </si>
  <si>
    <t>Hogares en déficit cuantitativo de vivienda (DANE)</t>
  </si>
  <si>
    <t>Hogares totales por unidad de análisis (urbano - rural)</t>
  </si>
  <si>
    <t>DCLV</t>
  </si>
  <si>
    <t xml:space="preserve">% de  hogares en Déficit 
Cualitativo de Vivienda </t>
  </si>
  <si>
    <t>Hogares en déficit cualitativo de vivienda (DANE)</t>
  </si>
  <si>
    <t>INSTRUMENTOS</t>
  </si>
  <si>
    <t>INSPA</t>
  </si>
  <si>
    <t>Instrumentos de planificación previstos en el POT adoptados</t>
  </si>
  <si>
    <t>Cantidad de instrumentos planificación previstos en el PBOT adoptados</t>
  </si>
  <si>
    <t>INSGR</t>
  </si>
  <si>
    <t>Instrumentos de gestión previstos en el POT puestos en operación</t>
  </si>
  <si>
    <t>Cantidad de instrumentos gestión previstos en el PBOT reglamentados</t>
  </si>
  <si>
    <t>INSPR</t>
  </si>
  <si>
    <t>Instrumentos de financiación revistos en el POT reglamentados</t>
  </si>
  <si>
    <t>Cantidad de instrumentos financiación previstos en el PBOT reglamentados</t>
  </si>
  <si>
    <t>si</t>
  </si>
  <si>
    <t>Secretaría de Planeación</t>
  </si>
  <si>
    <t xml:space="preserve">Aquaoccidente.
</t>
  </si>
  <si>
    <t>S.A.E.S.P
DANE 2018</t>
  </si>
  <si>
    <t xml:space="preserve"> Aquaoccidente S.A.E.S.P
</t>
  </si>
  <si>
    <t>Una estructura urbana compuesta por una ciudad central y un sistema de asentamientos
rurales jerarquizados y especializados agrupados en forma de corona en torno a la ciudad central.</t>
  </si>
  <si>
    <t>Unas zonas agropecuarias en torno a los centros poblados, en la franja del piedemonte y
en la los valles de la ladera</t>
  </si>
  <si>
    <t>Área (hectáreas) de humedales con planes de manejo</t>
  </si>
  <si>
    <t>Área (hectáreas) de humedales del Municipio</t>
  </si>
  <si>
    <t>AVANCE (2020 -2023)</t>
  </si>
  <si>
    <t>AVANCE (2016 -2019)</t>
  </si>
  <si>
    <t>Número de BIC</t>
  </si>
  <si>
    <t>Culto</t>
  </si>
  <si>
    <t>Cultira</t>
  </si>
  <si>
    <t>Salud</t>
  </si>
  <si>
    <t>Recreación</t>
  </si>
  <si>
    <t>Educaciín</t>
  </si>
  <si>
    <t>Bienestar Social</t>
  </si>
  <si>
    <t>ECU</t>
  </si>
  <si>
    <t>Número de equipamientos del área urbana</t>
  </si>
  <si>
    <t xml:space="preserve">Número de eequipamientos por tipo en el área urbana </t>
  </si>
  <si>
    <t>PPE</t>
  </si>
  <si>
    <t>Una gran zona Agroindustrial plana que cubre los intersticios de las dos anteriores estructuras.
Unas zonas agropecuarias en torno a los centros poblados, en la franja del piedemonte y
en la los valles de la ladera</t>
  </si>
  <si>
    <t>CONSTRUCCIÓN</t>
  </si>
  <si>
    <t>vivienda</t>
  </si>
  <si>
    <t>industria</t>
  </si>
  <si>
    <t>oficina</t>
  </si>
  <si>
    <t>bodega</t>
  </si>
  <si>
    <t>comercio</t>
  </si>
  <si>
    <t>hotel</t>
  </si>
  <si>
    <t>educación</t>
  </si>
  <si>
    <t>hospital-asistencial</t>
  </si>
  <si>
    <t>administración pública</t>
  </si>
  <si>
    <t>religioso</t>
  </si>
  <si>
    <t>social-recreacional</t>
  </si>
  <si>
    <t>otros</t>
  </si>
  <si>
    <t>Área (metros) licenciada por tipo en el municipio</t>
  </si>
  <si>
    <t>Total de área licenciada</t>
  </si>
  <si>
    <t>2016-2019</t>
  </si>
  <si>
    <t>2012-2015</t>
  </si>
  <si>
    <t>2012-2016</t>
  </si>
  <si>
    <t>2012-2017</t>
  </si>
  <si>
    <t>2012-2018</t>
  </si>
  <si>
    <t>2012-2019</t>
  </si>
  <si>
    <t>2012-2020</t>
  </si>
  <si>
    <t>2012-2021</t>
  </si>
  <si>
    <t>2012-2022</t>
  </si>
  <si>
    <t>2012-2023</t>
  </si>
  <si>
    <t>2012-2024</t>
  </si>
  <si>
    <t>2012-2025</t>
  </si>
  <si>
    <t>2012-2026</t>
  </si>
  <si>
    <t>2012-2027</t>
  </si>
  <si>
    <t>2010-2011</t>
  </si>
  <si>
    <t>PAL</t>
  </si>
  <si>
    <t>CVC
Mapa de USOS</t>
  </si>
  <si>
    <t>Número de construcciones localizadas en zona de riesgo medio por remosión en masa, susceptibles de obras de mitigación.</t>
  </si>
  <si>
    <t>Número de construcciones localizadas en zona de riesgo alto por inundación, susceptibles de obras de mitigación.</t>
  </si>
  <si>
    <t>Número de construcciones localizadas en zona de riesgo medio por inundación, susceptibles de obras de mitigación.</t>
  </si>
  <si>
    <t>Número de construcciones localizadas en zona de riesgo alto por inundación, No mitigable</t>
  </si>
  <si>
    <t>Área de expansión</t>
  </si>
  <si>
    <t>Área total municipal (en suelo urbano, de expansión urbana y rural)</t>
  </si>
  <si>
    <t>PLAN PARCIAL</t>
  </si>
  <si>
    <t>Papayal Alto</t>
  </si>
  <si>
    <t>ADOPTADO</t>
  </si>
  <si>
    <t>2003</t>
  </si>
  <si>
    <t>Decreto 309 de 2003</t>
  </si>
  <si>
    <t>Resolucion 28 de 2005, circular de doctrina.</t>
  </si>
  <si>
    <t>La Italia</t>
  </si>
  <si>
    <t>Expansión</t>
  </si>
  <si>
    <t>2005</t>
  </si>
  <si>
    <t>Decreto 233 de 2005
Decreto 056 de 2007
Decreto 391 de 2011</t>
  </si>
  <si>
    <t>Santa Bárbara</t>
  </si>
  <si>
    <t>2008</t>
  </si>
  <si>
    <t>Decreto 1207 de 2008
Decreto 383 de 2011</t>
  </si>
  <si>
    <t>Se encuentra en desarrollo</t>
  </si>
  <si>
    <t>Monteclaro - "Quintas de Belen"</t>
  </si>
  <si>
    <t>ADOPTADO
(Revisar estado, porque se adoptó mediante resolución)</t>
  </si>
  <si>
    <t>Decreto No. 103 de 2012</t>
  </si>
  <si>
    <t>OJO. Resolucion N° 372 (Modificación del Decreto 103) del 27 de diciembre de  2018. 
Ya se encontraba vencido al momento de modificar el Plan Parcial, y no debió haberse modificado por Resolución, sino por Decreto.</t>
  </si>
  <si>
    <t>Las Mercedes</t>
  </si>
  <si>
    <t>2016</t>
  </si>
  <si>
    <t>Decreto 323 de 2016</t>
  </si>
  <si>
    <t>Trapiche de las Mercedes</t>
  </si>
  <si>
    <t>2019</t>
  </si>
  <si>
    <t>Resolución 2019-160.13.3.753</t>
  </si>
  <si>
    <t>Hace parte del área del PP Las Mercedes</t>
  </si>
  <si>
    <t>2001, DTS Acuerdo 109 de 2001</t>
  </si>
  <si>
    <t xml:space="preserve">ANEXO 3
MATRIZ DE INDICADORES DE SEGUIMIENTO A
INDICADORES DE MODELO DE OCUPACIÓN
DEFINIDO EN EL POT DE PALMIRA, VALLE DEL CAUCA 
</t>
  </si>
  <si>
    <t>Se realiza el calculo con las areas consideradas de conservación y protección ambiental, sin embargo algunas presentan superposición, dichas areas son excluidas.</t>
  </si>
  <si>
    <t>CVC 2022</t>
  </si>
  <si>
    <t>Se saca la información comparando el shp de EPE del POT vigente y la información actual de EPE según formulación POT 2022</t>
  </si>
  <si>
    <t>Población 2022</t>
  </si>
  <si>
    <t>2021_ Fuente DANE</t>
  </si>
  <si>
    <t>Numero total de estudiantes matriculados año 2021</t>
  </si>
  <si>
    <t>OFICIAL</t>
  </si>
  <si>
    <t>CONTRATADA</t>
  </si>
  <si>
    <t>NO OFICIAL</t>
  </si>
  <si>
    <t>TOTAL</t>
  </si>
  <si>
    <t>Fuente: Dane, matrícula por sector año 2021, consulta de noviembre 2022</t>
  </si>
  <si>
    <t>Total estudiantes matriculados 2021</t>
  </si>
  <si>
    <t>personas por hogar al 2018</t>
  </si>
  <si>
    <t>personas por vivienda al 2018</t>
  </si>
  <si>
    <t>Fuente : Capa Huella de Humedales CVC ( Descargada nov_2022)</t>
  </si>
  <si>
    <t>Lagunas- Humedales GEOVISOR CVC 2022</t>
  </si>
  <si>
    <t>*No se tienen en cuenta por que  su uso no se encuentra relacionado directamente agropecuario, forestal, minero, entre otras actividades económicas</t>
  </si>
  <si>
    <t>ÁREA RURAL</t>
  </si>
  <si>
    <t xml:space="preserve">Nota: - No se considera la pobación L.EA que corresponde para el año 2022 a 3357.
</t>
  </si>
  <si>
    <t>Total Municipio</t>
  </si>
  <si>
    <r>
      <rPr>
        <b/>
        <sz val="10"/>
        <color theme="1"/>
        <rFont val="Calibri"/>
        <family val="2"/>
        <scheme val="minor"/>
      </rPr>
      <t xml:space="preserve">Fuente: </t>
    </r>
    <r>
      <rPr>
        <sz val="10"/>
        <color theme="1"/>
        <rFont val="Calibri"/>
        <family val="2"/>
        <scheme val="minor"/>
      </rPr>
      <t>Terridata.dnp.gov.co, Secretaría de Planeación Municipal.</t>
    </r>
  </si>
  <si>
    <t>2020-2022</t>
  </si>
  <si>
    <t>DANE 2022 LICENCIAS</t>
  </si>
  <si>
    <t>DANE – Censo 2005 y 2018, y proyección población 2022</t>
  </si>
  <si>
    <t xml:space="preserve">Número de equipamientos por tipo en el área urbana </t>
  </si>
  <si>
    <t>Área (ha) de suelo rural destinado a la producción por tipo (agropecuaria, forestal, mineria, entre otras)</t>
  </si>
  <si>
    <t xml:space="preserve">Construidas </t>
  </si>
  <si>
    <t>Corresponde a Cerrito</t>
  </si>
  <si>
    <t>Ok Verificada</t>
  </si>
  <si>
    <t>Terridata</t>
  </si>
  <si>
    <t>Porcentaje de indicadores con datos de medición</t>
  </si>
  <si>
    <t>Total de indicadores</t>
  </si>
  <si>
    <t>PRODUCTIVO</t>
  </si>
  <si>
    <t xml:space="preserve">Variables
</t>
  </si>
  <si>
    <t xml:space="preserve">Zona - Tipo </t>
  </si>
  <si>
    <t>m2 arreglados en 2022</t>
  </si>
  <si>
    <t>metros</t>
  </si>
  <si>
    <t>kilometros</t>
  </si>
  <si>
    <t>Porcentaje de acondicionamiento del sistema vial (fluvial, aéreo, terrestre)</t>
  </si>
  <si>
    <t>Aereo</t>
  </si>
  <si>
    <t>Porcentaje de acondicionamiento del sistema vial terrestre</t>
  </si>
  <si>
    <t>el dato de se tomó de informes de Alcaldía indicando 50mil m2 en huecos tapados</t>
  </si>
  <si>
    <t>Fuente noticias Alcaldía 50mil m2 en huecos, 780 metros pavimentación Amaime-Boyacá, 4 km mejoramiento vía caucaseco, 1,3 km pavimentación Barrancas. De DTS formulación POT 2022 se obtuvo el dato del total de kms acondicionar e intervenir.</t>
  </si>
  <si>
    <t>Dirección Gestión del Riesgo y Desastres</t>
  </si>
  <si>
    <t>Solo se cuenta con el inventario de viviendas y hogares realizado al 2021 por DGRD sin especificar el tipo de riesgo, por lo tanto se estima remoción en masa en Centro poblado del corregimiento de Tenjo, Vereda La Esperanza del corregimiento de Tablones, por inundación: Vereda Los Piles del corregimiento La Dolores y Barrio Azul del corregimiento de Amaime, Urbanización Ciudad Pereira del corregimiento de Juanchito. Elaboró Geo Ingenieros Consultores S.A.S. contrato MP-1174-2021</t>
  </si>
  <si>
    <t>Información por localización</t>
  </si>
  <si>
    <t>Centro poblado del corregimiento de Tenjo, Vereda La Esperanza del corregimiento de Tablones, por inundación: Vereda Los Piles del corregimiento La Dolores y Barrio Azul del corregimiento de Amaime, Urbanización Ciudad Pereira del corregimiento de Juanchito. Elaboró Geo Ingenieros Consultores S.A.S. contrato MP-1174-2021</t>
  </si>
  <si>
    <t>PVRM</t>
  </si>
  <si>
    <t>Información capas POT 2014</t>
  </si>
  <si>
    <t>Número de construcciones localizadas en zona de riesgo alto por remosión en masa,  susceptibles de obras de mitigación.</t>
  </si>
  <si>
    <t>Sin respuesta a la solicitud realizada en agosto de 2022</t>
  </si>
  <si>
    <r>
      <t xml:space="preserve">Propuesta POT Año 2001 o 2014?, teniendo en cuenta que es un ajuste a algunos articulo.
</t>
    </r>
    <r>
      <rPr>
        <b/>
        <sz val="12"/>
        <color theme="1"/>
        <rFont val="Arial Narrow"/>
        <family val="2"/>
      </rPr>
      <t>SI EXISTE A INFORMACIÓN DEL POT TRABAJAR CON ESA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</si>
</sst>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0"/>
    <numFmt numFmtId="165" formatCode="0.000"/>
    <numFmt numFmtId="166" formatCode="0.0"/>
    <numFmt numFmtId="167" formatCode="_ * #,##0.00_ ;_ * \-#,##0.00_ ;_ * &quot;-&quot;??_ ;_ @_ "/>
    <numFmt numFmtId="168" formatCode="_-* #,##0.00\ _P_t_s_-;\-* #,##0.00\ _P_t_s_-;_-* &quot;-&quot;??\ _P_t_s_-;_-@_-"/>
    <numFmt numFmtId="169" formatCode="_-* #,##0.00\ [$€]_-;\-* #,##0.00\ [$€]_-;_-* &quot;-&quot;??\ [$€]_-;_-@_-"/>
    <numFmt numFmtId="170" formatCode="0.0%"/>
    <numFmt numFmtId="171" formatCode="#,##0.000"/>
  </numFmts>
  <fonts count="48" x14ac:knownFonts="1">
    <font>
      <sz val="11"/>
      <color theme="1"/>
      <name val="Calibri"/>
      <family val="2"/>
      <scheme val="minor"/>
    </font>
    <font>
      <sz val="10"/>
      <color rgb="FF333333"/>
      <name val="Roboto"/>
    </font>
    <font>
      <sz val="8"/>
      <name val="Calibri"/>
      <family val="2"/>
      <scheme val="minor"/>
    </font>
    <font>
      <b/>
      <sz val="10"/>
      <color rgb="FF333333"/>
      <name val="Roboto"/>
    </font>
    <font>
      <sz val="11"/>
      <color theme="1"/>
      <name val="Calibri"/>
      <family val="2"/>
      <scheme val="minor"/>
    </font>
    <font>
      <sz val="10"/>
      <color theme="1"/>
      <name val="Arial"/>
      <family val="2"/>
    </font>
    <font>
      <b/>
      <sz val="11"/>
      <color rgb="FF333333"/>
      <name val="Roboto"/>
    </font>
    <font>
      <b/>
      <sz val="10"/>
      <color theme="1"/>
      <name val="Roboto"/>
    </font>
    <font>
      <sz val="10"/>
      <color theme="1"/>
      <name val="Roboto"/>
    </font>
    <font>
      <b/>
      <sz val="10"/>
      <color theme="1"/>
      <name val="Arial"/>
      <family val="2"/>
    </font>
    <font>
      <sz val="11"/>
      <color theme="1"/>
      <name val="Arial"/>
      <family val="2"/>
    </font>
    <font>
      <b/>
      <sz val="11"/>
      <color theme="1"/>
      <name val="Calibri"/>
      <family val="2"/>
      <scheme val="minor"/>
    </font>
    <font>
      <b/>
      <sz val="11"/>
      <color rgb="FF000000"/>
      <name val="Arial Narrow"/>
      <family val="2"/>
    </font>
    <font>
      <sz val="10"/>
      <color theme="1"/>
      <name val="Calibri"/>
      <family val="2"/>
      <scheme val="minor"/>
    </font>
    <font>
      <b/>
      <sz val="10"/>
      <color theme="1"/>
      <name val="Calibri"/>
      <family val="2"/>
      <scheme val="minor"/>
    </font>
    <font>
      <sz val="10"/>
      <name val="Arial"/>
      <family val="2"/>
    </font>
    <font>
      <i/>
      <sz val="11"/>
      <color theme="1"/>
      <name val="Calibri"/>
      <family val="2"/>
      <scheme val="minor"/>
    </font>
    <font>
      <b/>
      <sz val="11"/>
      <color theme="1"/>
      <name val="Arial"/>
      <family val="2"/>
    </font>
    <font>
      <b/>
      <sz val="9"/>
      <name val="Segoe UI"/>
      <family val="2"/>
    </font>
    <font>
      <b/>
      <sz val="9"/>
      <name val="Segoe UI"/>
      <family val="2"/>
      <charset val="204"/>
    </font>
    <font>
      <sz val="9"/>
      <name val="Segoe UI"/>
      <family val="2"/>
      <charset val="204"/>
    </font>
    <font>
      <sz val="11"/>
      <color rgb="FF282828"/>
      <name val="Arial"/>
      <family val="2"/>
    </font>
    <font>
      <sz val="11"/>
      <color theme="1"/>
      <name val="Times New Roman"/>
      <family val="1"/>
    </font>
    <font>
      <sz val="9"/>
      <color rgb="FF000000"/>
      <name val="Arial"/>
      <family val="2"/>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theme="0"/>
      <name val="Calibri"/>
      <family val="2"/>
      <scheme val="minor"/>
    </font>
    <font>
      <sz val="10"/>
      <name val="Arial"/>
      <family val="2"/>
    </font>
    <font>
      <sz val="11"/>
      <color rgb="FF9C6500"/>
      <name val="Calibri"/>
      <family val="2"/>
      <scheme val="minor"/>
    </font>
    <font>
      <b/>
      <sz val="18"/>
      <color theme="3"/>
      <name val="Calibri Light"/>
      <family val="2"/>
      <scheme val="major"/>
    </font>
    <font>
      <sz val="12"/>
      <color theme="1"/>
      <name val="Arial Narrow"/>
      <family val="2"/>
    </font>
    <font>
      <b/>
      <sz val="12"/>
      <color theme="5" tint="-0.249977111117893"/>
      <name val="Arial Narrow"/>
      <family val="2"/>
    </font>
    <font>
      <b/>
      <sz val="12"/>
      <color theme="1"/>
      <name val="Arial Narrow"/>
      <family val="2"/>
    </font>
    <font>
      <b/>
      <sz val="12"/>
      <name val="Arial Narrow"/>
      <family val="2"/>
    </font>
    <font>
      <sz val="12"/>
      <name val="Arial Narrow"/>
      <family val="2"/>
    </font>
    <font>
      <sz val="12"/>
      <color rgb="FF000000"/>
      <name val="Arial Narrow"/>
      <family val="2"/>
    </font>
    <font>
      <sz val="9"/>
      <color indexed="81"/>
      <name val="Tahoma"/>
      <charset val="1"/>
    </font>
    <font>
      <b/>
      <sz val="9"/>
      <color indexed="81"/>
      <name val="Tahoma"/>
      <charset val="1"/>
    </font>
    <font>
      <sz val="11"/>
      <color rgb="FFFF0000"/>
      <name val="Calibri"/>
      <family val="2"/>
      <scheme val="minor"/>
    </font>
    <font>
      <b/>
      <sz val="11"/>
      <color rgb="FF000000"/>
      <name val="Arial"/>
      <family val="2"/>
    </font>
    <font>
      <b/>
      <sz val="9"/>
      <name val="Arial"/>
      <family val="2"/>
    </font>
    <font>
      <sz val="9"/>
      <name val="Arial"/>
      <family val="2"/>
    </font>
    <font>
      <sz val="10"/>
      <color rgb="FFFF0000"/>
      <name val="Roboto"/>
    </font>
    <font>
      <b/>
      <sz val="12"/>
      <color theme="5"/>
      <name val="Arial Narrow"/>
      <family val="2"/>
    </font>
  </fonts>
  <fills count="4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2"/>
        <bgColor indexed="64"/>
      </patternFill>
    </fill>
    <fill>
      <patternFill patternType="solid">
        <fgColor theme="5" tint="0.7999816888943144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FF0000"/>
        <bgColor rgb="FFFF0000"/>
      </patternFill>
    </fill>
    <fill>
      <patternFill patternType="solid">
        <fgColor theme="0"/>
        <bgColor theme="0"/>
      </patternFill>
    </fill>
    <fill>
      <patternFill patternType="solid">
        <fgColor theme="8"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thick">
        <color rgb="FFFFFFFF"/>
      </right>
      <top/>
      <bottom style="medium">
        <color rgb="FFFFFFFF"/>
      </bottom>
      <diagonal/>
    </border>
    <border>
      <left style="medium">
        <color rgb="FFFFFFFF"/>
      </left>
      <right style="medium">
        <color rgb="FFFFFFFF"/>
      </right>
      <top/>
      <bottom style="thick">
        <color rgb="FFFFFFFF"/>
      </bottom>
      <diagonal/>
    </border>
    <border>
      <left/>
      <right style="medium">
        <color rgb="FFFFFFFF"/>
      </right>
      <top/>
      <bottom style="thick">
        <color rgb="FFFFFFFF"/>
      </bottom>
      <diagonal/>
    </border>
    <border>
      <left/>
      <right style="thick">
        <color rgb="FFFFFFFF"/>
      </right>
      <top/>
      <bottom style="thick">
        <color rgb="FFFFFFF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47">
    <xf numFmtId="0" fontId="0" fillId="0" borderId="0"/>
    <xf numFmtId="9" fontId="4" fillId="0" borderId="0" applyFont="0" applyFill="0" applyBorder="0" applyAlignment="0" applyProtection="0"/>
    <xf numFmtId="0" fontId="24" fillId="0" borderId="0" applyNumberFormat="0" applyFill="0" applyBorder="0" applyAlignment="0" applyProtection="0"/>
    <xf numFmtId="0" fontId="25" fillId="12" borderId="0" applyNumberFormat="0" applyBorder="0" applyAlignment="0" applyProtection="0"/>
    <xf numFmtId="0" fontId="26" fillId="14" borderId="23" applyNumberFormat="0" applyAlignment="0" applyProtection="0"/>
    <xf numFmtId="0" fontId="29" fillId="0" borderId="25" applyNumberFormat="0" applyFill="0" applyAlignment="0" applyProtection="0"/>
    <xf numFmtId="0" fontId="11" fillId="0" borderId="27" applyNumberFormat="0" applyFill="0" applyAlignment="0" applyProtection="0"/>
    <xf numFmtId="0" fontId="3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3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3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3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0"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30"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31" fillId="0" borderId="0"/>
    <xf numFmtId="0" fontId="15" fillId="0" borderId="0"/>
    <xf numFmtId="0" fontId="30" fillId="20"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36" borderId="0" applyNumberFormat="0" applyBorder="0" applyAlignment="0" applyProtection="0"/>
    <xf numFmtId="0" fontId="30" fillId="40" borderId="0" applyNumberFormat="0" applyBorder="0" applyAlignment="0" applyProtection="0"/>
    <xf numFmtId="0" fontId="28" fillId="15" borderId="23" applyNumberFormat="0" applyAlignment="0" applyProtection="0"/>
    <xf numFmtId="169" fontId="15" fillId="0" borderId="0" applyFont="0" applyFill="0" applyBorder="0" applyAlignment="0" applyProtection="0"/>
    <xf numFmtId="169" fontId="15" fillId="0" borderId="0" applyFont="0" applyFill="0" applyBorder="0" applyAlignment="0" applyProtection="0"/>
    <xf numFmtId="168" fontId="15" fillId="0" borderId="0" applyFont="0" applyFill="0" applyBorder="0" applyAlignment="0" applyProtection="0"/>
    <xf numFmtId="167" fontId="15" fillId="0" borderId="0" applyFont="0" applyFill="0" applyBorder="0" applyAlignment="0" applyProtection="0"/>
    <xf numFmtId="0" fontId="32" fillId="13" borderId="0" applyNumberFormat="0" applyBorder="0" applyAlignment="0" applyProtection="0"/>
    <xf numFmtId="0" fontId="4" fillId="0" borderId="0"/>
    <xf numFmtId="0" fontId="4" fillId="16" borderId="26" applyNumberFormat="0" applyFont="0" applyAlignment="0" applyProtection="0"/>
    <xf numFmtId="9" fontId="15" fillId="0" borderId="0" applyFont="0" applyFill="0" applyBorder="0" applyAlignment="0" applyProtection="0"/>
    <xf numFmtId="9" fontId="15" fillId="0" borderId="0" applyFont="0" applyFill="0" applyBorder="0" applyAlignment="0" applyProtection="0"/>
    <xf numFmtId="0" fontId="27" fillId="15" borderId="24" applyNumberFormat="0" applyAlignment="0" applyProtection="0"/>
    <xf numFmtId="0" fontId="33" fillId="0" borderId="0" applyNumberFormat="0" applyFill="0" applyBorder="0" applyAlignment="0" applyProtection="0"/>
    <xf numFmtId="43" fontId="4" fillId="0" borderId="0" applyFont="0" applyFill="0" applyBorder="0" applyAlignment="0" applyProtection="0"/>
    <xf numFmtId="0" fontId="15" fillId="0" borderId="0"/>
  </cellStyleXfs>
  <cellXfs count="257">
    <xf numFmtId="0" fontId="0" fillId="0" borderId="0" xfId="0"/>
    <xf numFmtId="0" fontId="1" fillId="0" borderId="1" xfId="0" applyFont="1" applyBorder="1" applyAlignment="1">
      <alignment vertical="center" wrapText="1"/>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3" fillId="3" borderId="1" xfId="0" applyFont="1" applyFill="1" applyBorder="1" applyAlignment="1">
      <alignment vertical="center" wrapText="1"/>
    </xf>
    <xf numFmtId="0" fontId="3" fillId="2" borderId="1" xfId="0" applyFont="1" applyFill="1" applyBorder="1" applyAlignment="1">
      <alignment vertical="center" wrapText="1"/>
    </xf>
    <xf numFmtId="164" fontId="3" fillId="2"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9" fontId="0" fillId="0" borderId="0" xfId="1" applyFont="1"/>
    <xf numFmtId="0" fontId="8" fillId="7" borderId="1" xfId="0" applyFont="1" applyFill="1" applyBorder="1"/>
    <xf numFmtId="165" fontId="8" fillId="7" borderId="1" xfId="0" applyNumberFormat="1" applyFont="1" applyFill="1" applyBorder="1"/>
    <xf numFmtId="164" fontId="8" fillId="7" borderId="1" xfId="0" applyNumberFormat="1" applyFont="1" applyFill="1" applyBorder="1"/>
    <xf numFmtId="0" fontId="7" fillId="4" borderId="1" xfId="0" applyFont="1" applyFill="1" applyBorder="1"/>
    <xf numFmtId="165" fontId="7" fillId="4" borderId="1" xfId="0" applyNumberFormat="1" applyFont="1" applyFill="1" applyBorder="1"/>
    <xf numFmtId="2" fontId="1" fillId="0" borderId="2" xfId="0" applyNumberFormat="1" applyFont="1" applyBorder="1" applyAlignment="1">
      <alignment horizontal="center" vertical="center" wrapText="1"/>
    </xf>
    <xf numFmtId="2" fontId="1" fillId="3" borderId="1" xfId="0" applyNumberFormat="1" applyFont="1" applyFill="1" applyBorder="1" applyAlignment="1">
      <alignment horizontal="center" vertical="center" wrapText="1"/>
    </xf>
    <xf numFmtId="9" fontId="0" fillId="7" borderId="1" xfId="1" applyFont="1" applyFill="1" applyBorder="1" applyAlignment="1">
      <alignment horizontal="center" wrapText="1"/>
    </xf>
    <xf numFmtId="2" fontId="3"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9" fontId="1" fillId="8" borderId="1" xfId="1" applyFont="1" applyFill="1" applyBorder="1" applyAlignment="1">
      <alignment horizontal="center" vertical="center" wrapText="1"/>
    </xf>
    <xf numFmtId="0" fontId="3" fillId="0" borderId="7" xfId="0" applyFont="1" applyBorder="1" applyAlignment="1">
      <alignment horizontal="center" vertical="center" wrapText="1"/>
    </xf>
    <xf numFmtId="0" fontId="1" fillId="0" borderId="7" xfId="0" applyFont="1" applyBorder="1" applyAlignment="1">
      <alignment vertical="center" wrapText="1"/>
    </xf>
    <xf numFmtId="2" fontId="1" fillId="0" borderId="7" xfId="0" applyNumberFormat="1" applyFont="1" applyBorder="1" applyAlignment="1">
      <alignment horizontal="center" vertical="center" wrapText="1"/>
    </xf>
    <xf numFmtId="9" fontId="0" fillId="0" borderId="7" xfId="1" applyFont="1" applyBorder="1" applyAlignment="1">
      <alignment horizontal="center"/>
    </xf>
    <xf numFmtId="9" fontId="0" fillId="5" borderId="7" xfId="1" applyFont="1" applyFill="1" applyBorder="1" applyAlignment="1">
      <alignment horizontal="center"/>
    </xf>
    <xf numFmtId="0" fontId="10" fillId="0" borderId="0" xfId="0" applyFont="1"/>
    <xf numFmtId="0" fontId="0" fillId="0" borderId="0" xfId="0" applyAlignment="1">
      <alignment horizontal="center"/>
    </xf>
    <xf numFmtId="0" fontId="12" fillId="0" borderId="0" xfId="0" applyFont="1" applyAlignment="1">
      <alignment horizontal="center" vertical="center" wrapText="1"/>
    </xf>
    <xf numFmtId="0" fontId="13" fillId="0" borderId="0" xfId="0" applyFont="1" applyAlignment="1">
      <alignment vertical="center" wrapText="1"/>
    </xf>
    <xf numFmtId="0" fontId="0" fillId="0" borderId="1" xfId="0" applyBorder="1"/>
    <xf numFmtId="0" fontId="1" fillId="0" borderId="0" xfId="0" applyFont="1" applyAlignment="1">
      <alignment vertical="center" wrapText="1"/>
    </xf>
    <xf numFmtId="165" fontId="1" fillId="0" borderId="1" xfId="0" applyNumberFormat="1" applyFont="1" applyBorder="1" applyAlignment="1">
      <alignment horizontal="center" vertical="center" wrapText="1"/>
    </xf>
    <xf numFmtId="0" fontId="3" fillId="0" borderId="1" xfId="0" applyFont="1" applyBorder="1" applyAlignment="1">
      <alignment vertical="center" wrapText="1"/>
    </xf>
    <xf numFmtId="165" fontId="3" fillId="0" borderId="1" xfId="0" applyNumberFormat="1" applyFont="1" applyBorder="1" applyAlignment="1">
      <alignment horizontal="center" vertical="center" wrapText="1"/>
    </xf>
    <xf numFmtId="0" fontId="11" fillId="0" borderId="1" xfId="0" applyFont="1" applyBorder="1" applyAlignment="1">
      <alignment horizontal="center"/>
    </xf>
    <xf numFmtId="0" fontId="11" fillId="4" borderId="1" xfId="0" applyFont="1" applyFill="1" applyBorder="1" applyAlignment="1">
      <alignment horizontal="center" vertical="center"/>
    </xf>
    <xf numFmtId="0" fontId="18"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166" fontId="20" fillId="0" borderId="0" xfId="0" applyNumberFormat="1" applyFont="1" applyAlignment="1">
      <alignment horizontal="center"/>
    </xf>
    <xf numFmtId="3" fontId="20" fillId="0" borderId="14" xfId="1" applyNumberFormat="1" applyFont="1" applyFill="1" applyBorder="1" applyAlignment="1"/>
    <xf numFmtId="3" fontId="20" fillId="0" borderId="0" xfId="1" applyNumberFormat="1" applyFont="1" applyFill="1" applyBorder="1" applyAlignment="1"/>
    <xf numFmtId="3" fontId="20" fillId="0" borderId="15" xfId="1" applyNumberFormat="1" applyFont="1" applyFill="1" applyBorder="1" applyAlignment="1"/>
    <xf numFmtId="0" fontId="0" fillId="0" borderId="1" xfId="0" applyBorder="1" applyAlignment="1">
      <alignment horizontal="center" vertical="center" wrapText="1"/>
    </xf>
    <xf numFmtId="0" fontId="0" fillId="0" borderId="1" xfId="0" applyBorder="1" applyAlignment="1">
      <alignment wrapText="1"/>
    </xf>
    <xf numFmtId="0" fontId="11" fillId="0" borderId="1" xfId="0" applyFont="1" applyBorder="1"/>
    <xf numFmtId="0" fontId="23" fillId="0" borderId="0" xfId="0" applyFont="1" applyAlignment="1">
      <alignment horizontal="left" vertical="center" indent="3"/>
    </xf>
    <xf numFmtId="0" fontId="0" fillId="0" borderId="1" xfId="0" applyBorder="1" applyAlignment="1">
      <alignment vertical="center" wrapText="1"/>
    </xf>
    <xf numFmtId="0" fontId="0" fillId="0" borderId="0" xfId="0" applyAlignment="1">
      <alignment horizont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3" fontId="0" fillId="0" borderId="31" xfId="0" applyNumberFormat="1" applyBorder="1"/>
    <xf numFmtId="0" fontId="11" fillId="41" borderId="30" xfId="0" applyFont="1" applyFill="1" applyBorder="1" applyAlignment="1">
      <alignment horizontal="center" wrapText="1"/>
    </xf>
    <xf numFmtId="3" fontId="0" fillId="0" borderId="0" xfId="0" applyNumberFormat="1"/>
    <xf numFmtId="0" fontId="34" fillId="0" borderId="0" xfId="0" applyFont="1"/>
    <xf numFmtId="0" fontId="35" fillId="0" borderId="32" xfId="39" applyFont="1" applyBorder="1" applyAlignment="1">
      <alignment horizontal="center" vertical="center" textRotation="90" wrapText="1"/>
    </xf>
    <xf numFmtId="0" fontId="35" fillId="0" borderId="32" xfId="39" applyFont="1" applyBorder="1" applyAlignment="1">
      <alignment horizontal="center" vertical="center" wrapText="1"/>
    </xf>
    <xf numFmtId="0" fontId="34" fillId="0" borderId="32" xfId="0" applyFont="1" applyBorder="1" applyAlignment="1">
      <alignment horizontal="center" vertical="center" wrapText="1"/>
    </xf>
    <xf numFmtId="0" fontId="34" fillId="0" borderId="32" xfId="0" applyFont="1" applyBorder="1" applyAlignment="1">
      <alignment horizontal="center" vertical="center"/>
    </xf>
    <xf numFmtId="0" fontId="34" fillId="11" borderId="32" xfId="0" applyFont="1" applyFill="1" applyBorder="1" applyAlignment="1">
      <alignment horizontal="center" vertical="center" wrapText="1"/>
    </xf>
    <xf numFmtId="0" fontId="36" fillId="0" borderId="0" xfId="0" applyFont="1"/>
    <xf numFmtId="0" fontId="34" fillId="10" borderId="0" xfId="0" applyFont="1" applyFill="1"/>
    <xf numFmtId="0" fontId="35" fillId="0" borderId="0" xfId="0" applyFont="1" applyAlignment="1">
      <alignment horizontal="left" vertical="center" wrapText="1"/>
    </xf>
    <xf numFmtId="0" fontId="35" fillId="0" borderId="0" xfId="0" applyFont="1" applyAlignment="1">
      <alignment horizontal="left" vertical="center"/>
    </xf>
    <xf numFmtId="0" fontId="34" fillId="0" borderId="0" xfId="0" applyFont="1" applyAlignment="1">
      <alignment horizontal="center" vertical="center" wrapText="1"/>
    </xf>
    <xf numFmtId="0" fontId="39" fillId="0" borderId="32" xfId="0" applyFont="1" applyBorder="1" applyAlignment="1">
      <alignment horizontal="center" vertical="center" wrapText="1"/>
    </xf>
    <xf numFmtId="0" fontId="37" fillId="0" borderId="32" xfId="0" applyFont="1" applyBorder="1" applyAlignment="1">
      <alignment horizontal="center" vertical="center"/>
    </xf>
    <xf numFmtId="0" fontId="34" fillId="0" borderId="0" xfId="0" applyFont="1" applyAlignment="1">
      <alignment horizontal="center" vertical="center"/>
    </xf>
    <xf numFmtId="0" fontId="38" fillId="0" borderId="32" xfId="0" applyFont="1" applyBorder="1" applyAlignment="1">
      <alignment horizontal="center" vertical="center"/>
    </xf>
    <xf numFmtId="0" fontId="34" fillId="0" borderId="34" xfId="0" applyFont="1" applyBorder="1" applyAlignment="1">
      <alignment horizontal="center" vertical="center"/>
    </xf>
    <xf numFmtId="0" fontId="38" fillId="0" borderId="34" xfId="0" applyFont="1" applyBorder="1" applyAlignment="1">
      <alignment horizontal="center" vertical="center"/>
    </xf>
    <xf numFmtId="43" fontId="11" fillId="0" borderId="39" xfId="0" applyNumberFormat="1" applyFont="1" applyBorder="1"/>
    <xf numFmtId="4" fontId="34" fillId="0" borderId="0" xfId="0" applyNumberFormat="1" applyFont="1" applyAlignment="1">
      <alignment horizontal="center" vertical="center"/>
    </xf>
    <xf numFmtId="3" fontId="34" fillId="0" borderId="40" xfId="0" applyNumberFormat="1" applyFont="1" applyBorder="1" applyAlignment="1">
      <alignment horizontal="center" vertical="center"/>
    </xf>
    <xf numFmtId="0" fontId="34" fillId="0" borderId="40" xfId="0" applyFont="1" applyBorder="1" applyAlignment="1">
      <alignment horizontal="center" vertical="center"/>
    </xf>
    <xf numFmtId="4" fontId="34" fillId="0" borderId="40" xfId="0" applyNumberFormat="1" applyFont="1" applyBorder="1" applyAlignment="1">
      <alignment horizontal="center" vertical="center"/>
    </xf>
    <xf numFmtId="49" fontId="34" fillId="0" borderId="40" xfId="0" applyNumberFormat="1" applyFont="1" applyBorder="1" applyAlignment="1">
      <alignment horizontal="center" vertical="center"/>
    </xf>
    <xf numFmtId="2" fontId="34" fillId="0" borderId="40" xfId="0" applyNumberFormat="1" applyFont="1" applyBorder="1" applyAlignment="1">
      <alignment horizontal="center" vertical="center" wrapText="1"/>
    </xf>
    <xf numFmtId="4" fontId="34" fillId="0" borderId="40" xfId="0" applyNumberFormat="1" applyFont="1" applyBorder="1" applyAlignment="1">
      <alignment horizontal="left" vertical="center" wrapText="1"/>
    </xf>
    <xf numFmtId="4" fontId="34" fillId="0" borderId="40" xfId="0" applyNumberFormat="1" applyFont="1" applyBorder="1" applyAlignment="1">
      <alignment horizontal="center" vertical="center" wrapText="1"/>
    </xf>
    <xf numFmtId="49" fontId="39" fillId="0" borderId="40" xfId="0" applyNumberFormat="1" applyFont="1" applyBorder="1" applyAlignment="1">
      <alignment horizontal="center" vertical="center" wrapText="1"/>
    </xf>
    <xf numFmtId="4" fontId="39" fillId="0" borderId="40" xfId="0" applyNumberFormat="1" applyFont="1" applyBorder="1" applyAlignment="1">
      <alignment horizontal="center" vertical="center"/>
    </xf>
    <xf numFmtId="4" fontId="34" fillId="3" borderId="40" xfId="0" applyNumberFormat="1" applyFont="1" applyFill="1" applyBorder="1" applyAlignment="1">
      <alignment horizontal="center" vertical="center"/>
    </xf>
    <xf numFmtId="4" fontId="34" fillId="42" borderId="0" xfId="0" applyNumberFormat="1" applyFont="1" applyFill="1" applyAlignment="1">
      <alignment horizontal="center" vertical="center"/>
    </xf>
    <xf numFmtId="0" fontId="34" fillId="3" borderId="40" xfId="0" applyFont="1" applyFill="1" applyBorder="1" applyAlignment="1">
      <alignment horizontal="center" vertical="center" wrapText="1"/>
    </xf>
    <xf numFmtId="0" fontId="34" fillId="0" borderId="40" xfId="0" applyFont="1" applyBorder="1" applyAlignment="1">
      <alignment horizontal="center" vertical="center" wrapText="1"/>
    </xf>
    <xf numFmtId="0" fontId="38" fillId="0" borderId="40" xfId="0" applyFont="1" applyBorder="1" applyAlignment="1">
      <alignment horizontal="center" vertical="center" wrapText="1"/>
    </xf>
    <xf numFmtId="49" fontId="39" fillId="43" borderId="40" xfId="0" applyNumberFormat="1" applyFont="1" applyFill="1" applyBorder="1" applyAlignment="1">
      <alignment horizontal="center" vertical="center" wrapText="1"/>
    </xf>
    <xf numFmtId="0" fontId="34" fillId="0" borderId="40" xfId="0" applyFont="1" applyBorder="1" applyAlignment="1">
      <alignment horizontal="left" vertical="center" wrapText="1"/>
    </xf>
    <xf numFmtId="4" fontId="34" fillId="3" borderId="41" xfId="0" applyNumberFormat="1" applyFont="1" applyFill="1" applyBorder="1" applyAlignment="1">
      <alignment horizontal="center" vertical="center"/>
    </xf>
    <xf numFmtId="4" fontId="39" fillId="0" borderId="41" xfId="0" applyNumberFormat="1" applyFont="1" applyBorder="1" applyAlignment="1">
      <alignment horizontal="center" vertical="center" wrapText="1"/>
    </xf>
    <xf numFmtId="49" fontId="34" fillId="0" borderId="41" xfId="0" applyNumberFormat="1" applyFont="1" applyBorder="1" applyAlignment="1">
      <alignment horizontal="center" vertical="center"/>
    </xf>
    <xf numFmtId="49" fontId="39" fillId="0" borderId="41" xfId="0" applyNumberFormat="1" applyFont="1" applyBorder="1" applyAlignment="1">
      <alignment horizontal="center" vertical="center" wrapText="1"/>
    </xf>
    <xf numFmtId="2" fontId="34" fillId="0" borderId="41" xfId="0" applyNumberFormat="1" applyFont="1" applyBorder="1" applyAlignment="1">
      <alignment horizontal="center" vertical="center" wrapText="1"/>
    </xf>
    <xf numFmtId="4" fontId="34" fillId="0" borderId="42" xfId="0" applyNumberFormat="1" applyFont="1" applyBorder="1" applyAlignment="1">
      <alignment horizontal="left" vertical="center" wrapText="1"/>
    </xf>
    <xf numFmtId="170" fontId="34" fillId="0" borderId="0" xfId="0" applyNumberFormat="1" applyFont="1"/>
    <xf numFmtId="10" fontId="34" fillId="0" borderId="32" xfId="1" applyNumberFormat="1" applyFont="1" applyFill="1" applyBorder="1" applyAlignment="1">
      <alignment horizontal="center" vertical="center"/>
    </xf>
    <xf numFmtId="0" fontId="36" fillId="0" borderId="32" xfId="0" applyFont="1" applyBorder="1" applyAlignment="1">
      <alignment horizontal="center" vertical="center" wrapText="1"/>
    </xf>
    <xf numFmtId="2" fontId="34" fillId="0" borderId="34" xfId="0" applyNumberFormat="1" applyFont="1" applyBorder="1" applyAlignment="1">
      <alignment horizontal="center" vertical="center"/>
    </xf>
    <xf numFmtId="0" fontId="21" fillId="44" borderId="17" xfId="0" applyFont="1" applyFill="1" applyBorder="1" applyAlignment="1">
      <alignment vertical="center" wrapText="1"/>
    </xf>
    <xf numFmtId="0" fontId="22" fillId="44" borderId="18" xfId="0" applyFont="1" applyFill="1" applyBorder="1" applyAlignment="1">
      <alignment vertical="center" wrapText="1"/>
    </xf>
    <xf numFmtId="0" fontId="21" fillId="44" borderId="18" xfId="0" applyFont="1" applyFill="1" applyBorder="1" applyAlignment="1">
      <alignment vertical="center" wrapText="1"/>
    </xf>
    <xf numFmtId="0" fontId="22" fillId="44" borderId="19" xfId="0" applyFont="1" applyFill="1" applyBorder="1" applyAlignment="1">
      <alignment vertical="center" wrapText="1"/>
    </xf>
    <xf numFmtId="0" fontId="21" fillId="44" borderId="19" xfId="0" applyFont="1" applyFill="1" applyBorder="1" applyAlignment="1">
      <alignment vertical="center" wrapText="1"/>
    </xf>
    <xf numFmtId="0" fontId="21" fillId="44" borderId="20" xfId="0" applyFont="1" applyFill="1" applyBorder="1" applyAlignment="1">
      <alignment vertical="center" wrapText="1"/>
    </xf>
    <xf numFmtId="0" fontId="21" fillId="44" borderId="21" xfId="0" applyFont="1" applyFill="1" applyBorder="1" applyAlignment="1">
      <alignment vertical="center" wrapText="1"/>
    </xf>
    <xf numFmtId="0" fontId="21" fillId="44" borderId="22" xfId="0" applyFont="1" applyFill="1" applyBorder="1" applyAlignment="1">
      <alignment vertical="center" wrapText="1"/>
    </xf>
    <xf numFmtId="0" fontId="17" fillId="0" borderId="16" xfId="0" applyFont="1" applyBorder="1" applyAlignment="1">
      <alignmen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 fontId="0" fillId="0" borderId="1" xfId="0" applyNumberFormat="1" applyBorder="1"/>
    <xf numFmtId="4" fontId="20" fillId="0" borderId="0" xfId="1" applyNumberFormat="1" applyFont="1" applyFill="1" applyBorder="1" applyAlignment="1"/>
    <xf numFmtId="3" fontId="20" fillId="3" borderId="0" xfId="1" applyNumberFormat="1" applyFont="1" applyFill="1" applyBorder="1" applyAlignment="1"/>
    <xf numFmtId="3" fontId="20" fillId="0" borderId="1" xfId="1" applyNumberFormat="1"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xf numFmtId="0" fontId="8" fillId="3" borderId="0" xfId="0" applyFont="1" applyFill="1" applyAlignment="1">
      <alignment horizontal="center"/>
    </xf>
    <xf numFmtId="9" fontId="0" fillId="3" borderId="0" xfId="1" applyFont="1" applyFill="1" applyAlignment="1">
      <alignment horizontal="center"/>
    </xf>
    <xf numFmtId="0" fontId="0" fillId="0" borderId="8" xfId="0" applyBorder="1"/>
    <xf numFmtId="1" fontId="0" fillId="0" borderId="5" xfId="0" applyNumberFormat="1" applyBorder="1"/>
    <xf numFmtId="0" fontId="12" fillId="9" borderId="1" xfId="0" applyFont="1" applyFill="1" applyBorder="1" applyAlignment="1">
      <alignment horizontal="center" vertical="center" wrapText="1"/>
    </xf>
    <xf numFmtId="2" fontId="10" fillId="0" borderId="1" xfId="0" applyNumberFormat="1" applyFont="1" applyBorder="1"/>
    <xf numFmtId="0" fontId="12" fillId="9" borderId="1" xfId="0" applyFont="1" applyFill="1" applyBorder="1" applyAlignment="1">
      <alignment vertical="center" wrapText="1"/>
    </xf>
    <xf numFmtId="0" fontId="10" fillId="0" borderId="1" xfId="0" applyFont="1" applyBorder="1"/>
    <xf numFmtId="0" fontId="17" fillId="0" borderId="1" xfId="0" applyFont="1" applyBorder="1" applyAlignment="1">
      <alignment horizontal="center" vertical="center"/>
    </xf>
    <xf numFmtId="0" fontId="43" fillId="9" borderId="1" xfId="0" applyFont="1" applyFill="1" applyBorder="1" applyAlignment="1">
      <alignment horizontal="center" vertical="center" wrapText="1"/>
    </xf>
    <xf numFmtId="0" fontId="43" fillId="7" borderId="0" xfId="0" applyFont="1" applyFill="1" applyAlignment="1">
      <alignment horizontal="center" vertical="center" wrapText="1"/>
    </xf>
    <xf numFmtId="0" fontId="10" fillId="7" borderId="0" xfId="0" applyFont="1" applyFill="1"/>
    <xf numFmtId="0" fontId="44" fillId="0" borderId="4"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166" fontId="45" fillId="0" borderId="0" xfId="0" applyNumberFormat="1" applyFont="1" applyAlignment="1">
      <alignment horizontal="center"/>
    </xf>
    <xf numFmtId="3" fontId="45" fillId="0" borderId="14" xfId="1" applyNumberFormat="1" applyFont="1" applyFill="1" applyBorder="1" applyAlignment="1"/>
    <xf numFmtId="3" fontId="45" fillId="0" borderId="0" xfId="1" applyNumberFormat="1" applyFont="1" applyFill="1" applyBorder="1" applyAlignment="1"/>
    <xf numFmtId="3" fontId="45" fillId="0" borderId="15" xfId="1" applyNumberFormat="1" applyFont="1" applyFill="1" applyBorder="1" applyAlignment="1"/>
    <xf numFmtId="3" fontId="45" fillId="3" borderId="0" xfId="1" applyNumberFormat="1" applyFont="1" applyFill="1" applyBorder="1" applyAlignment="1"/>
    <xf numFmtId="0" fontId="10" fillId="0" borderId="1" xfId="0" applyFont="1" applyBorder="1" applyAlignment="1">
      <alignment horizontal="center" vertical="center"/>
    </xf>
    <xf numFmtId="2" fontId="10" fillId="0" borderId="1" xfId="0" applyNumberFormat="1" applyFont="1" applyBorder="1" applyAlignment="1">
      <alignment horizontal="center" vertical="center"/>
    </xf>
    <xf numFmtId="2" fontId="10" fillId="0" borderId="1" xfId="1" applyNumberFormat="1" applyFont="1" applyBorder="1" applyAlignment="1">
      <alignment horizontal="center" vertical="center"/>
    </xf>
    <xf numFmtId="0" fontId="34" fillId="0" borderId="32" xfId="0" applyFont="1" applyBorder="1" applyAlignment="1">
      <alignment horizontal="left" vertical="center" wrapText="1"/>
    </xf>
    <xf numFmtId="3" fontId="38" fillId="0" borderId="33" xfId="0" applyNumberFormat="1" applyFont="1" applyBorder="1" applyAlignment="1">
      <alignment horizontal="center" vertical="center"/>
    </xf>
    <xf numFmtId="43" fontId="14" fillId="0" borderId="39" xfId="0" applyNumberFormat="1" applyFont="1" applyBorder="1"/>
    <xf numFmtId="170" fontId="34" fillId="0" borderId="32" xfId="1" applyNumberFormat="1" applyFont="1" applyBorder="1" applyAlignment="1">
      <alignment horizontal="center" vertical="center" wrapText="1"/>
    </xf>
    <xf numFmtId="0" fontId="34" fillId="0" borderId="32" xfId="0" applyFont="1" applyBorder="1" applyAlignment="1">
      <alignment vertical="center" wrapText="1"/>
    </xf>
    <xf numFmtId="9" fontId="34" fillId="0" borderId="32" xfId="1" applyFont="1" applyFill="1" applyBorder="1" applyAlignment="1">
      <alignment horizontal="center" vertical="center" wrapText="1"/>
    </xf>
    <xf numFmtId="0" fontId="38" fillId="0" borderId="32" xfId="0" applyFont="1" applyBorder="1" applyAlignment="1">
      <alignment horizontal="left" vertical="center" wrapText="1"/>
    </xf>
    <xf numFmtId="0" fontId="34" fillId="0" borderId="0" xfId="0" applyFont="1" applyAlignment="1">
      <alignment horizontal="left" vertical="center"/>
    </xf>
    <xf numFmtId="0" fontId="46" fillId="0" borderId="1" xfId="0" applyFont="1" applyBorder="1" applyAlignment="1">
      <alignment vertical="center" wrapText="1"/>
    </xf>
    <xf numFmtId="164" fontId="46" fillId="0" borderId="2" xfId="0" applyNumberFormat="1" applyFont="1" applyBorder="1" applyAlignment="1">
      <alignment horizontal="center" vertical="center" wrapText="1"/>
    </xf>
    <xf numFmtId="164" fontId="46" fillId="0" borderId="3" xfId="0" applyNumberFormat="1" applyFont="1" applyBorder="1" applyAlignment="1">
      <alignment horizontal="center" vertical="center" wrapText="1"/>
    </xf>
    <xf numFmtId="164" fontId="46" fillId="0" borderId="1" xfId="0" applyNumberFormat="1" applyFont="1" applyBorder="1" applyAlignment="1">
      <alignment horizontal="center" vertical="center" wrapText="1"/>
    </xf>
    <xf numFmtId="0" fontId="42" fillId="0" borderId="0" xfId="0" applyFont="1"/>
    <xf numFmtId="164" fontId="46" fillId="0" borderId="0" xfId="0" applyNumberFormat="1" applyFont="1" applyAlignment="1">
      <alignment horizontal="center" vertical="center" wrapText="1"/>
    </xf>
    <xf numFmtId="0" fontId="0" fillId="3" borderId="0" xfId="0" applyFill="1"/>
    <xf numFmtId="0" fontId="1" fillId="3" borderId="1" xfId="0" applyFont="1" applyFill="1" applyBorder="1" applyAlignment="1">
      <alignment vertical="center" wrapText="1"/>
    </xf>
    <xf numFmtId="171" fontId="38" fillId="0" borderId="33" xfId="0" applyNumberFormat="1" applyFont="1" applyBorder="1" applyAlignment="1">
      <alignment horizontal="center" vertical="center"/>
    </xf>
    <xf numFmtId="0" fontId="36" fillId="45" borderId="1" xfId="0" applyFont="1" applyFill="1" applyBorder="1" applyAlignment="1">
      <alignment horizontal="center" vertical="center" wrapText="1"/>
    </xf>
    <xf numFmtId="9" fontId="36" fillId="45" borderId="1" xfId="1" applyFont="1" applyFill="1" applyBorder="1" applyAlignment="1">
      <alignment horizontal="center" vertical="center"/>
    </xf>
    <xf numFmtId="0" fontId="35" fillId="0" borderId="32"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32" xfId="0" applyFont="1" applyBorder="1" applyAlignment="1">
      <alignment horizontal="center" vertical="center" wrapText="1"/>
    </xf>
    <xf numFmtId="0" fontId="37" fillId="0" borderId="32" xfId="0" applyFont="1" applyBorder="1" applyAlignment="1">
      <alignment horizontal="center" vertical="center" wrapText="1"/>
    </xf>
    <xf numFmtId="0" fontId="38" fillId="0" borderId="32"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2" xfId="0" applyFont="1" applyBorder="1" applyAlignment="1">
      <alignment horizontal="left" vertical="center" wrapText="1"/>
    </xf>
    <xf numFmtId="0" fontId="34" fillId="0" borderId="32" xfId="0" applyFont="1" applyBorder="1" applyAlignment="1">
      <alignment horizontal="center" vertical="center"/>
    </xf>
    <xf numFmtId="0" fontId="34" fillId="45" borderId="32" xfId="0" applyFont="1" applyFill="1" applyBorder="1" applyAlignment="1">
      <alignment horizontal="center" vertical="center" wrapText="1"/>
    </xf>
    <xf numFmtId="0" fontId="34" fillId="45" borderId="34" xfId="0" applyFont="1" applyFill="1" applyBorder="1" applyAlignment="1">
      <alignment horizontal="center" vertical="center" wrapText="1"/>
    </xf>
    <xf numFmtId="0" fontId="34" fillId="45" borderId="33" xfId="0" applyFont="1" applyFill="1" applyBorder="1" applyAlignment="1">
      <alignment horizontal="center" vertical="center" wrapText="1"/>
    </xf>
    <xf numFmtId="0" fontId="35" fillId="0" borderId="0" xfId="0" applyFont="1" applyAlignment="1">
      <alignment horizontal="left" vertical="center" wrapText="1"/>
    </xf>
    <xf numFmtId="0" fontId="35" fillId="0" borderId="0" xfId="0" applyFont="1" applyAlignment="1">
      <alignment horizontal="left" vertical="center"/>
    </xf>
    <xf numFmtId="0" fontId="35" fillId="0" borderId="32" xfId="39" applyFont="1" applyBorder="1" applyAlignment="1">
      <alignment horizontal="center" vertical="center" wrapText="1"/>
    </xf>
    <xf numFmtId="170" fontId="34" fillId="0" borderId="32" xfId="1" applyNumberFormat="1" applyFont="1" applyFill="1" applyBorder="1" applyAlignment="1">
      <alignment horizontal="center" vertical="center"/>
    </xf>
    <xf numFmtId="0" fontId="34" fillId="0" borderId="34" xfId="0" applyFont="1" applyBorder="1" applyAlignment="1">
      <alignment horizontal="center" vertical="center"/>
    </xf>
    <xf numFmtId="0" fontId="34" fillId="0" borderId="33" xfId="0" applyFont="1" applyBorder="1" applyAlignment="1">
      <alignment horizontal="center" vertical="center"/>
    </xf>
    <xf numFmtId="0" fontId="35" fillId="0" borderId="32" xfId="0" applyFont="1" applyBorder="1" applyAlignment="1">
      <alignment horizontal="left" vertical="center" wrapText="1"/>
    </xf>
    <xf numFmtId="0" fontId="36" fillId="0" borderId="35" xfId="0" applyFont="1" applyBorder="1" applyAlignment="1">
      <alignment horizontal="center" vertical="center" wrapText="1"/>
    </xf>
    <xf numFmtId="170" fontId="34" fillId="0" borderId="32" xfId="1" applyNumberFormat="1" applyFont="1" applyFill="1" applyBorder="1" applyAlignment="1">
      <alignment horizontal="center" vertical="center" wrapText="1"/>
    </xf>
    <xf numFmtId="2" fontId="34" fillId="0" borderId="32" xfId="0" applyNumberFormat="1" applyFont="1" applyBorder="1" applyAlignment="1">
      <alignment horizontal="center" vertical="center" wrapText="1"/>
    </xf>
    <xf numFmtId="170" fontId="34" fillId="0" borderId="34" xfId="1" applyNumberFormat="1" applyFont="1" applyFill="1" applyBorder="1" applyAlignment="1">
      <alignment horizontal="center" vertical="center" wrapText="1"/>
    </xf>
    <xf numFmtId="170" fontId="34" fillId="0" borderId="33" xfId="1" applyNumberFormat="1" applyFont="1" applyFill="1" applyBorder="1" applyAlignment="1">
      <alignment horizontal="center" vertical="center" wrapText="1"/>
    </xf>
    <xf numFmtId="9" fontId="34" fillId="0" borderId="34" xfId="0" applyNumberFormat="1" applyFont="1" applyBorder="1" applyAlignment="1">
      <alignment horizontal="center" vertical="center" wrapText="1"/>
    </xf>
    <xf numFmtId="9" fontId="34" fillId="0" borderId="35" xfId="0" applyNumberFormat="1" applyFont="1" applyBorder="1" applyAlignment="1">
      <alignment horizontal="center" vertical="center" wrapText="1"/>
    </xf>
    <xf numFmtId="9" fontId="34" fillId="0" borderId="33" xfId="0" applyNumberFormat="1" applyFont="1" applyBorder="1" applyAlignment="1">
      <alignment horizontal="center" vertical="center" wrapText="1"/>
    </xf>
    <xf numFmtId="10" fontId="34" fillId="2" borderId="32" xfId="1" applyNumberFormat="1" applyFont="1" applyFill="1" applyBorder="1" applyAlignment="1">
      <alignment horizontal="center" vertical="center" wrapText="1"/>
    </xf>
    <xf numFmtId="0" fontId="34" fillId="0" borderId="34"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6" xfId="0" applyFont="1" applyBorder="1" applyAlignment="1">
      <alignment horizontal="left" vertical="center" wrapText="1"/>
    </xf>
    <xf numFmtId="0" fontId="34" fillId="0" borderId="37" xfId="0" applyFont="1" applyBorder="1" applyAlignment="1">
      <alignment horizontal="left" vertical="center" wrapText="1"/>
    </xf>
    <xf numFmtId="0" fontId="34" fillId="0" borderId="38" xfId="0" applyFont="1" applyBorder="1" applyAlignment="1">
      <alignment horizontal="left" vertical="center" wrapText="1"/>
    </xf>
    <xf numFmtId="0" fontId="36" fillId="0" borderId="36" xfId="0" applyFont="1" applyBorder="1" applyAlignment="1">
      <alignment horizontal="center" vertical="center" wrapText="1"/>
    </xf>
    <xf numFmtId="0" fontId="36" fillId="0" borderId="37" xfId="0" applyFont="1" applyBorder="1" applyAlignment="1">
      <alignment horizontal="center" vertical="center" wrapText="1"/>
    </xf>
    <xf numFmtId="0" fontId="16" fillId="0" borderId="0" xfId="0" applyFont="1" applyAlignment="1">
      <alignment horizontal="left"/>
    </xf>
    <xf numFmtId="0" fontId="3" fillId="0" borderId="7" xfId="0" applyFont="1" applyBorder="1" applyAlignment="1">
      <alignment horizontal="right" wrapText="1"/>
    </xf>
    <xf numFmtId="0" fontId="3" fillId="0" borderId="7" xfId="0" applyFont="1" applyBorder="1" applyAlignment="1">
      <alignment horizontal="right" vertical="center" wrapText="1"/>
    </xf>
    <xf numFmtId="0" fontId="3" fillId="5" borderId="7" xfId="0" applyFont="1" applyFill="1" applyBorder="1" applyAlignment="1">
      <alignment horizontal="righ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164" fontId="46" fillId="0" borderId="2" xfId="0" applyNumberFormat="1" applyFont="1" applyBorder="1" applyAlignment="1">
      <alignment horizontal="center" vertical="center" wrapText="1"/>
    </xf>
    <xf numFmtId="164" fontId="46" fillId="0" borderId="3"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right" wrapText="1"/>
    </xf>
    <xf numFmtId="0" fontId="3" fillId="3" borderId="1" xfId="0" applyFont="1" applyFill="1" applyBorder="1" applyAlignment="1">
      <alignment horizontal="right" vertical="center" wrapText="1"/>
    </xf>
    <xf numFmtId="0" fontId="3" fillId="7" borderId="2" xfId="0" applyFont="1" applyFill="1" applyBorder="1" applyAlignment="1">
      <alignment horizontal="right" vertical="center" wrapText="1"/>
    </xf>
    <xf numFmtId="0" fontId="3" fillId="7" borderId="3" xfId="0" applyFont="1" applyFill="1" applyBorder="1" applyAlignment="1">
      <alignment horizontal="right" vertical="center" wrapText="1"/>
    </xf>
    <xf numFmtId="0" fontId="0" fillId="0" borderId="0" xfId="0" applyAlignment="1">
      <alignment horizontal="center"/>
    </xf>
    <xf numFmtId="0" fontId="13" fillId="0" borderId="0" xfId="0" applyFont="1" applyAlignment="1">
      <alignment horizontal="center"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9" fillId="0" borderId="1" xfId="0" applyFont="1" applyBorder="1" applyAlignment="1">
      <alignment horizontal="center" vertical="center" wrapText="1"/>
    </xf>
    <xf numFmtId="9" fontId="0" fillId="0" borderId="12" xfId="1" applyFont="1" applyBorder="1" applyAlignment="1">
      <alignment horizontal="center" vertical="center"/>
    </xf>
    <xf numFmtId="9" fontId="0" fillId="0" borderId="13" xfId="1" applyFont="1" applyBorder="1" applyAlignment="1">
      <alignment horizontal="center" vertical="center"/>
    </xf>
    <xf numFmtId="0" fontId="17" fillId="0" borderId="0" xfId="0" applyFont="1" applyAlignment="1">
      <alignment horizontal="left" vertical="center" wrapText="1" indent="15"/>
    </xf>
    <xf numFmtId="0" fontId="0" fillId="0" borderId="28" xfId="0" applyBorder="1" applyAlignment="1">
      <alignment horizontal="center"/>
    </xf>
    <xf numFmtId="0" fontId="0" fillId="0" borderId="29" xfId="0" applyBorder="1" applyAlignment="1">
      <alignment horizontal="center"/>
    </xf>
    <xf numFmtId="0" fontId="11" fillId="0" borderId="0" xfId="0" applyFont="1" applyAlignment="1">
      <alignment horizontal="center"/>
    </xf>
    <xf numFmtId="0" fontId="16" fillId="0" borderId="0" xfId="0" applyFont="1" applyAlignment="1">
      <alignment horizontal="center" wrapText="1"/>
    </xf>
    <xf numFmtId="0" fontId="3" fillId="4" borderId="1" xfId="0" applyFont="1" applyFill="1" applyBorder="1" applyAlignment="1">
      <alignment horizontal="center" vertical="center" wrapText="1"/>
    </xf>
    <xf numFmtId="0" fontId="8" fillId="0" borderId="1" xfId="0" applyFont="1" applyBorder="1" applyAlignment="1">
      <alignment horizontal="center"/>
    </xf>
    <xf numFmtId="0" fontId="0" fillId="6" borderId="0" xfId="0" applyFill="1" applyAlignment="1">
      <alignment horizontal="center" wrapText="1"/>
    </xf>
    <xf numFmtId="0" fontId="47" fillId="0" borderId="32" xfId="46" applyFont="1" applyBorder="1" applyAlignment="1">
      <alignment horizontal="center" vertical="center" wrapText="1"/>
    </xf>
    <xf numFmtId="0" fontId="0" fillId="0" borderId="0" xfId="0" applyAlignment="1">
      <alignment horizontal="center" vertical="center" wrapText="1"/>
    </xf>
    <xf numFmtId="0" fontId="5" fillId="0" borderId="32" xfId="0" applyFont="1" applyBorder="1" applyAlignment="1">
      <alignment horizontal="center" vertical="center" wrapText="1"/>
    </xf>
    <xf numFmtId="0" fontId="5" fillId="0" borderId="32" xfId="0" applyFont="1" applyBorder="1" applyAlignment="1">
      <alignment horizontal="center" vertical="center" wrapText="1"/>
    </xf>
    <xf numFmtId="0" fontId="0" fillId="0" borderId="0" xfId="0" applyAlignment="1">
      <alignment vertical="center"/>
    </xf>
    <xf numFmtId="0" fontId="5" fillId="0" borderId="0" xfId="0" applyFont="1" applyAlignment="1">
      <alignment horizontal="center" vertical="center" wrapText="1"/>
    </xf>
    <xf numFmtId="9" fontId="0" fillId="0" borderId="0" xfId="1" applyFont="1" applyAlignment="1">
      <alignment horizontal="center" vertical="center"/>
    </xf>
    <xf numFmtId="9" fontId="34" fillId="0" borderId="32" xfId="1" applyFont="1" applyBorder="1" applyAlignment="1">
      <alignment horizontal="center" vertical="center" wrapText="1"/>
    </xf>
    <xf numFmtId="9" fontId="34" fillId="0" borderId="32" xfId="1" applyNumberFormat="1" applyFont="1" applyBorder="1" applyAlignment="1">
      <alignment horizontal="center" vertical="center" wrapText="1"/>
    </xf>
    <xf numFmtId="0" fontId="34" fillId="0" borderId="34"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166" fontId="34" fillId="0" borderId="32" xfId="0" applyNumberFormat="1" applyFont="1" applyBorder="1" applyAlignment="1">
      <alignment horizontal="center" vertical="center"/>
    </xf>
    <xf numFmtId="3" fontId="34" fillId="0" borderId="32" xfId="0" applyNumberFormat="1" applyFont="1" applyBorder="1" applyAlignment="1">
      <alignment horizontal="center" vertical="center"/>
    </xf>
  </cellXfs>
  <cellStyles count="47">
    <cellStyle name="20% - Énfasis1" xfId="8" builtinId="30" customBuiltin="1"/>
    <cellStyle name="20% - Énfasis2" xfId="11" builtinId="34" customBuiltin="1"/>
    <cellStyle name="20% - Énfasis3" xfId="14" builtinId="38" customBuiltin="1"/>
    <cellStyle name="20% - Énfasis4" xfId="17" builtinId="42" customBuiltin="1"/>
    <cellStyle name="20% - Énfasis5" xfId="20" builtinId="46" customBuiltin="1"/>
    <cellStyle name="20% - Énfasis6" xfId="23" builtinId="50" customBuiltin="1"/>
    <cellStyle name="40% - Énfasis1" xfId="9" builtinId="31" customBuiltin="1"/>
    <cellStyle name="40% - Énfasis2" xfId="12" builtinId="35" customBuiltin="1"/>
    <cellStyle name="40% - Énfasis3" xfId="15" builtinId="39" customBuiltin="1"/>
    <cellStyle name="40% - Énfasis4" xfId="18" builtinId="43" customBuiltin="1"/>
    <cellStyle name="40% - Énfasis5" xfId="21" builtinId="47" customBuiltin="1"/>
    <cellStyle name="40% - Énfasis6" xfId="24" builtinId="51" customBuiltin="1"/>
    <cellStyle name="60% - Énfasis1 2" xfId="27" xr:uid="{D900D78C-D358-4453-8B33-5ED402BE35D6}"/>
    <cellStyle name="60% - Énfasis2 2" xfId="28" xr:uid="{809D9ED0-13C0-47FB-813E-8E441C0C4B65}"/>
    <cellStyle name="60% - Énfasis3 2" xfId="29" xr:uid="{A8FE9832-843F-455F-A5AF-24EE74BE459F}"/>
    <cellStyle name="60% - Énfasis4 2" xfId="30" xr:uid="{B8724800-CE47-4697-8B36-6AD2A4063BE3}"/>
    <cellStyle name="60% - Énfasis5 2" xfId="31" xr:uid="{EEC81ED8-BCAA-4FA6-9524-27CFD10B51D2}"/>
    <cellStyle name="60% - Énfasis6 2" xfId="32" xr:uid="{9A88597E-5B16-4E8A-8501-1D71DB63617F}"/>
    <cellStyle name="Cálculo 2" xfId="33" xr:uid="{323BDA1A-1D12-4C9F-B640-7C36BFB73C26}"/>
    <cellStyle name="Celda vinculada" xfId="5" builtinId="24" customBuiltin="1"/>
    <cellStyle name="Encabezado 4" xfId="2" builtinId="19" customBuiltin="1"/>
    <cellStyle name="Énfasis1" xfId="7" builtinId="29" customBuiltin="1"/>
    <cellStyle name="Énfasis2" xfId="10" builtinId="33" customBuiltin="1"/>
    <cellStyle name="Énfasis3" xfId="13" builtinId="37" customBuiltin="1"/>
    <cellStyle name="Énfasis4" xfId="16" builtinId="41" customBuiltin="1"/>
    <cellStyle name="Énfasis5" xfId="19" builtinId="45" customBuiltin="1"/>
    <cellStyle name="Énfasis6" xfId="22" builtinId="49" customBuiltin="1"/>
    <cellStyle name="Entrada" xfId="4" builtinId="20" customBuiltin="1"/>
    <cellStyle name="Euro" xfId="34" xr:uid="{4A22731D-FA33-40D9-807E-E049675E4F45}"/>
    <cellStyle name="Euro 2" xfId="35" xr:uid="{2BF50FA6-5631-414F-9A59-44D15E0610C6}"/>
    <cellStyle name="Incorrecto" xfId="3" builtinId="27" customBuiltin="1"/>
    <cellStyle name="Millares 2" xfId="37" xr:uid="{B3EE2ECB-CAE1-49E5-BD3A-94F4984AF9DF}"/>
    <cellStyle name="Millares 3" xfId="36" xr:uid="{1644CEFD-6D98-44E9-9520-F4C8FBA06BCC}"/>
    <cellStyle name="Millares 4" xfId="45" xr:uid="{A135CF2F-7BCE-4568-BB74-B36706B6FBC0}"/>
    <cellStyle name="Neutral 2" xfId="38" xr:uid="{7B9D4A6B-50D2-4C7B-904F-B86A4580AC05}"/>
    <cellStyle name="Normal" xfId="0" builtinId="0"/>
    <cellStyle name="Normal 2" xfId="39" xr:uid="{E285D736-033A-42BB-A10A-50AE527AE680}"/>
    <cellStyle name="Normal 3" xfId="25" xr:uid="{DF57DB92-CA0C-4FE4-84B1-1A6B34ED3110}"/>
    <cellStyle name="Normal 3 2" xfId="46" xr:uid="{84A52134-6368-456A-A745-08819C2C1EF5}"/>
    <cellStyle name="Normal 4" xfId="26" xr:uid="{E4479A9C-9AE5-4C12-8199-1B3AF837B27A}"/>
    <cellStyle name="Notas 2" xfId="40" xr:uid="{1292A884-D362-4130-9595-C1D120797874}"/>
    <cellStyle name="Porcentaje" xfId="1" builtinId="5"/>
    <cellStyle name="Porcentaje 2" xfId="41" xr:uid="{FAF8437D-2903-46EC-8F88-A67D6A495BC3}"/>
    <cellStyle name="Porcentaje 3" xfId="42" xr:uid="{46D550C5-85E3-4F9B-8014-18164247E042}"/>
    <cellStyle name="Salida 2" xfId="43" xr:uid="{96D2AFA5-B7BB-4FED-8AB7-282EF5603F97}"/>
    <cellStyle name="Título 4" xfId="44" xr:uid="{4EF4936B-BF57-4EF9-A552-D703F058F218}"/>
    <cellStyle name="Total" xfId="6" builtinId="25" customBuiltin="1"/>
  </cellStyles>
  <dxfs count="19">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s>
  <tableStyles count="0" defaultTableStyle="TableStyleMedium2" defaultPivotStyle="PivotStyleLight16"/>
  <colors>
    <mruColors>
      <color rgb="FFCCFFCC"/>
      <color rgb="FFFBC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anexo_ELIC_serie_tipo_base_municipios_sep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jgai\Downloads\Indicadores%20Vivienda%20VIP-V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
      <sheetName val="lista municipios"/>
      <sheetName val="Hoja1"/>
      <sheetName val="destinos"/>
      <sheetName val="vivienda"/>
    </sheetNames>
    <sheetDataSet>
      <sheetData sheetId="0" refreshError="1"/>
      <sheetData sheetId="1" refreshError="1"/>
      <sheetData sheetId="2">
        <row r="23">
          <cell r="Q23">
            <v>85283</v>
          </cell>
          <cell r="R23">
            <v>176796</v>
          </cell>
          <cell r="S23">
            <v>345290</v>
          </cell>
        </row>
        <row r="24">
          <cell r="Q24">
            <v>240</v>
          </cell>
          <cell r="R24">
            <v>7000</v>
          </cell>
        </row>
        <row r="25">
          <cell r="Q25">
            <v>151</v>
          </cell>
        </row>
        <row r="26">
          <cell r="Q26">
            <v>37988</v>
          </cell>
          <cell r="R26">
            <v>20372</v>
          </cell>
          <cell r="S26">
            <v>25097</v>
          </cell>
        </row>
        <row r="27">
          <cell r="Q27">
            <v>3688</v>
          </cell>
          <cell r="R27">
            <v>10542</v>
          </cell>
          <cell r="S27">
            <v>11764</v>
          </cell>
        </row>
        <row r="28">
          <cell r="S28">
            <v>300</v>
          </cell>
        </row>
        <row r="29">
          <cell r="Q29">
            <v>3187</v>
          </cell>
          <cell r="R29">
            <v>1983</v>
          </cell>
          <cell r="S29">
            <v>1199</v>
          </cell>
        </row>
        <row r="30">
          <cell r="Q30">
            <v>1628</v>
          </cell>
          <cell r="R30">
            <v>841</v>
          </cell>
        </row>
        <row r="31">
          <cell r="R31">
            <v>160</v>
          </cell>
        </row>
        <row r="32">
          <cell r="R32">
            <v>409</v>
          </cell>
          <cell r="S32">
            <v>2897</v>
          </cell>
        </row>
        <row r="33">
          <cell r="R33">
            <v>1129</v>
          </cell>
          <cell r="S33">
            <v>1256</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72D44-2E1F-41D8-B18C-985398AD13F9}">
  <dimension ref="A1:AA138"/>
  <sheetViews>
    <sheetView showGridLines="0" tabSelected="1" zoomScale="67" zoomScaleNormal="85" workbookViewId="0">
      <pane xSplit="6" ySplit="4" topLeftCell="L75" activePane="bottomRight" state="frozen"/>
      <selection pane="topRight" activeCell="G1" sqref="G1"/>
      <selection pane="bottomLeft" activeCell="A5" sqref="A5"/>
      <selection pane="bottomRight" activeCell="W96" sqref="W96"/>
    </sheetView>
  </sheetViews>
  <sheetFormatPr baseColWidth="10" defaultColWidth="10.7109375" defaultRowHeight="15.75" x14ac:dyDescent="0.25"/>
  <cols>
    <col min="1" max="1" width="32.7109375" style="66" customWidth="1"/>
    <col min="2" max="2" width="18.85546875" style="66" customWidth="1"/>
    <col min="3" max="3" width="12.28515625" style="65" bestFit="1" customWidth="1"/>
    <col min="4" max="4" width="16" style="65" customWidth="1"/>
    <col min="5" max="5" width="22.28515625" style="59" hidden="1" customWidth="1"/>
    <col min="6" max="6" width="40.7109375" style="153" customWidth="1"/>
    <col min="7" max="7" width="28.5703125" style="59" customWidth="1"/>
    <col min="8" max="8" width="21.140625" style="59" customWidth="1"/>
    <col min="9" max="9" width="21.28515625" style="59" customWidth="1"/>
    <col min="10" max="13" width="10.7109375" style="72" customWidth="1"/>
    <col min="14" max="14" width="11.5703125" style="72" customWidth="1"/>
    <col min="15" max="15" width="10.7109375" style="72" customWidth="1"/>
    <col min="16" max="16" width="17.5703125" style="72" customWidth="1"/>
    <col min="17" max="17" width="10.7109375" style="72" customWidth="1"/>
    <col min="18" max="18" width="20.140625" style="72" customWidth="1"/>
    <col min="19" max="19" width="10.7109375" style="72" customWidth="1"/>
    <col min="20" max="20" width="21.7109375" style="72" customWidth="1"/>
    <col min="21" max="21" width="10.7109375" style="72" customWidth="1"/>
    <col min="22" max="22" width="17.7109375" style="72" customWidth="1"/>
    <col min="23" max="23" width="20.7109375" style="72" customWidth="1"/>
    <col min="24" max="24" width="30.42578125" style="72" customWidth="1"/>
    <col min="25" max="25" width="20.28515625" style="59" customWidth="1"/>
    <col min="26" max="26" width="50.42578125" style="59" customWidth="1"/>
    <col min="27" max="16384" width="10.7109375" style="59"/>
  </cols>
  <sheetData>
    <row r="1" spans="1:27" ht="94.35" customHeight="1" x14ac:dyDescent="0.25">
      <c r="A1" s="177" t="s">
        <v>462</v>
      </c>
      <c r="B1" s="178"/>
      <c r="C1" s="178"/>
      <c r="D1" s="178"/>
      <c r="E1" s="178"/>
      <c r="F1" s="178"/>
      <c r="G1" s="178"/>
      <c r="H1" s="178"/>
      <c r="I1" s="178"/>
    </row>
    <row r="2" spans="1:27" x14ac:dyDescent="0.25">
      <c r="A2" s="67"/>
      <c r="B2" s="68"/>
      <c r="C2" s="68"/>
      <c r="D2" s="68"/>
      <c r="E2" s="68"/>
      <c r="F2" s="68"/>
      <c r="G2" s="68"/>
      <c r="H2" s="68"/>
      <c r="I2" s="68"/>
    </row>
    <row r="3" spans="1:27" x14ac:dyDescent="0.25">
      <c r="A3" s="165" t="s">
        <v>341</v>
      </c>
      <c r="B3" s="165" t="s">
        <v>101</v>
      </c>
      <c r="C3" s="165" t="s">
        <v>192</v>
      </c>
      <c r="D3" s="165" t="s">
        <v>102</v>
      </c>
      <c r="E3" s="165" t="s">
        <v>103</v>
      </c>
      <c r="F3" s="183" t="s">
        <v>104</v>
      </c>
      <c r="G3" s="165" t="s">
        <v>215</v>
      </c>
      <c r="H3" s="165"/>
      <c r="I3" s="165" t="s">
        <v>205</v>
      </c>
      <c r="J3" s="179" t="s">
        <v>345</v>
      </c>
      <c r="K3" s="179"/>
      <c r="L3" s="179" t="s">
        <v>346</v>
      </c>
      <c r="M3" s="179"/>
      <c r="N3" s="179" t="s">
        <v>347</v>
      </c>
      <c r="O3" s="179"/>
      <c r="P3" s="179" t="s">
        <v>348</v>
      </c>
      <c r="Q3" s="179"/>
      <c r="R3" s="179" t="s">
        <v>349</v>
      </c>
      <c r="S3" s="179"/>
      <c r="T3" s="179" t="s">
        <v>385</v>
      </c>
      <c r="U3" s="179"/>
      <c r="V3" s="179" t="s">
        <v>384</v>
      </c>
      <c r="W3" s="179"/>
      <c r="X3" s="165" t="s">
        <v>350</v>
      </c>
      <c r="Y3" s="165" t="s">
        <v>105</v>
      </c>
      <c r="Z3" s="165" t="s">
        <v>351</v>
      </c>
    </row>
    <row r="4" spans="1:27" ht="92.25" x14ac:dyDescent="0.25">
      <c r="A4" s="165"/>
      <c r="B4" s="165"/>
      <c r="C4" s="165"/>
      <c r="D4" s="165"/>
      <c r="E4" s="165"/>
      <c r="F4" s="183"/>
      <c r="G4" s="165"/>
      <c r="H4" s="165"/>
      <c r="I4" s="165"/>
      <c r="J4" s="60" t="s">
        <v>352</v>
      </c>
      <c r="K4" s="60" t="s">
        <v>353</v>
      </c>
      <c r="L4" s="60" t="s">
        <v>354</v>
      </c>
      <c r="M4" s="60" t="s">
        <v>355</v>
      </c>
      <c r="N4" s="61" t="s">
        <v>356</v>
      </c>
      <c r="O4" s="61" t="s">
        <v>357</v>
      </c>
      <c r="P4" s="61" t="s">
        <v>356</v>
      </c>
      <c r="Q4" s="61" t="s">
        <v>357</v>
      </c>
      <c r="R4" s="61" t="s">
        <v>356</v>
      </c>
      <c r="S4" s="61" t="s">
        <v>357</v>
      </c>
      <c r="T4" s="61" t="s">
        <v>356</v>
      </c>
      <c r="U4" s="61" t="s">
        <v>357</v>
      </c>
      <c r="V4" s="61" t="s">
        <v>356</v>
      </c>
      <c r="W4" s="61" t="s">
        <v>357</v>
      </c>
      <c r="X4" s="165"/>
      <c r="Y4" s="165"/>
      <c r="Z4" s="165"/>
    </row>
    <row r="5" spans="1:27" ht="51.4" customHeight="1" x14ac:dyDescent="0.25">
      <c r="A5" s="168" t="s">
        <v>342</v>
      </c>
      <c r="B5" s="168" t="s">
        <v>115</v>
      </c>
      <c r="C5" s="168">
        <v>1</v>
      </c>
      <c r="D5" s="168" t="s">
        <v>396</v>
      </c>
      <c r="E5" s="171" t="s">
        <v>152</v>
      </c>
      <c r="F5" s="146" t="s">
        <v>116</v>
      </c>
      <c r="G5" s="171" t="s">
        <v>208</v>
      </c>
      <c r="H5" s="171"/>
      <c r="I5" s="171" t="s">
        <v>193</v>
      </c>
      <c r="J5" s="180">
        <f>40564.4539861003/100368.330354</f>
        <v>0.40415591096343939</v>
      </c>
      <c r="K5" s="181"/>
      <c r="L5" s="181"/>
      <c r="M5" s="181"/>
      <c r="N5" s="180">
        <f>43658.529528/100368.330354</f>
        <v>0.43498312041274345</v>
      </c>
      <c r="O5" s="181">
        <v>2007</v>
      </c>
      <c r="P5" s="181"/>
      <c r="Q5" s="181"/>
      <c r="R5" s="180">
        <f>43789.376081/100368.330354</f>
        <v>0.43628678415347227</v>
      </c>
      <c r="S5" s="181">
        <v>2015</v>
      </c>
      <c r="T5" s="181">
        <v>43913.898488999992</v>
      </c>
      <c r="U5" s="181">
        <v>2021</v>
      </c>
      <c r="V5" s="74">
        <v>43913.898488999992</v>
      </c>
      <c r="W5" s="181">
        <v>2022</v>
      </c>
      <c r="X5" s="180">
        <f>+V5/V6</f>
        <v>0.43752743852682691</v>
      </c>
      <c r="Y5" s="171" t="s">
        <v>464</v>
      </c>
      <c r="Z5" s="171" t="s">
        <v>463</v>
      </c>
      <c r="AA5" s="100">
        <f>+X5-J5</f>
        <v>3.3371527563387515E-2</v>
      </c>
    </row>
    <row r="6" spans="1:27" ht="51.4" customHeight="1" x14ac:dyDescent="0.25">
      <c r="A6" s="168"/>
      <c r="B6" s="168"/>
      <c r="C6" s="168"/>
      <c r="D6" s="168"/>
      <c r="E6" s="171"/>
      <c r="F6" s="146" t="s">
        <v>117</v>
      </c>
      <c r="G6" s="171" t="s">
        <v>208</v>
      </c>
      <c r="H6" s="171"/>
      <c r="I6" s="173"/>
      <c r="J6" s="180"/>
      <c r="K6" s="182"/>
      <c r="L6" s="182"/>
      <c r="M6" s="182"/>
      <c r="N6" s="180"/>
      <c r="O6" s="182"/>
      <c r="P6" s="182"/>
      <c r="Q6" s="182"/>
      <c r="R6" s="180"/>
      <c r="S6" s="182"/>
      <c r="T6" s="182"/>
      <c r="U6" s="182"/>
      <c r="V6" s="74">
        <v>100368.33035400001</v>
      </c>
      <c r="W6" s="182"/>
      <c r="X6" s="180"/>
      <c r="Y6" s="171"/>
      <c r="Z6" s="171"/>
    </row>
    <row r="7" spans="1:27" ht="51.4" customHeight="1" x14ac:dyDescent="0.25">
      <c r="A7" s="168"/>
      <c r="B7" s="168"/>
      <c r="C7" s="168">
        <v>2</v>
      </c>
      <c r="D7" s="168" t="s">
        <v>153</v>
      </c>
      <c r="E7" s="171" t="s">
        <v>154</v>
      </c>
      <c r="F7" s="146" t="s">
        <v>382</v>
      </c>
      <c r="G7" s="171" t="s">
        <v>208</v>
      </c>
      <c r="H7" s="171"/>
      <c r="I7" s="62" t="s">
        <v>202</v>
      </c>
      <c r="J7" s="63"/>
      <c r="K7" s="63"/>
      <c r="L7" s="63"/>
      <c r="M7" s="63"/>
      <c r="N7" s="63"/>
      <c r="O7" s="63"/>
      <c r="P7" s="63"/>
      <c r="Q7" s="63"/>
      <c r="R7" s="63"/>
      <c r="S7" s="63"/>
      <c r="T7" s="63">
        <v>2</v>
      </c>
      <c r="U7" s="181">
        <v>2021</v>
      </c>
      <c r="V7" s="63">
        <v>1</v>
      </c>
      <c r="W7" s="181">
        <v>2022</v>
      </c>
      <c r="X7" s="185">
        <v>0.33</v>
      </c>
      <c r="Y7" s="171" t="s">
        <v>155</v>
      </c>
      <c r="Z7" s="171" t="s">
        <v>254</v>
      </c>
    </row>
    <row r="8" spans="1:27" ht="51.4" customHeight="1" x14ac:dyDescent="0.25">
      <c r="A8" s="168"/>
      <c r="B8" s="168"/>
      <c r="C8" s="168"/>
      <c r="D8" s="168"/>
      <c r="E8" s="171"/>
      <c r="F8" s="146" t="s">
        <v>383</v>
      </c>
      <c r="G8" s="171" t="s">
        <v>208</v>
      </c>
      <c r="H8" s="171"/>
      <c r="I8" s="62" t="s">
        <v>291</v>
      </c>
      <c r="J8" s="63"/>
      <c r="K8" s="63"/>
      <c r="L8" s="63"/>
      <c r="M8" s="63"/>
      <c r="N8" s="63"/>
      <c r="O8" s="63"/>
      <c r="P8" s="63"/>
      <c r="Q8" s="63"/>
      <c r="R8" s="63"/>
      <c r="S8" s="63"/>
      <c r="T8" s="63">
        <v>11</v>
      </c>
      <c r="U8" s="182"/>
      <c r="V8" s="103">
        <v>0</v>
      </c>
      <c r="W8" s="182"/>
      <c r="X8" s="185"/>
      <c r="Y8" s="171"/>
      <c r="Z8" s="171"/>
    </row>
    <row r="9" spans="1:27" ht="51.4" customHeight="1" x14ac:dyDescent="0.25">
      <c r="A9" s="168"/>
      <c r="B9" s="168" t="s">
        <v>172</v>
      </c>
      <c r="C9" s="168">
        <v>3</v>
      </c>
      <c r="D9" s="168" t="s">
        <v>140</v>
      </c>
      <c r="E9" s="171" t="s">
        <v>141</v>
      </c>
      <c r="F9" s="146" t="s">
        <v>142</v>
      </c>
      <c r="G9" s="171" t="s">
        <v>208</v>
      </c>
      <c r="H9" s="171"/>
      <c r="I9" s="171" t="s">
        <v>143</v>
      </c>
      <c r="J9" s="181">
        <v>2.6</v>
      </c>
      <c r="K9" s="193" t="s">
        <v>461</v>
      </c>
      <c r="L9" s="63"/>
      <c r="M9" s="63"/>
      <c r="N9" s="63"/>
      <c r="O9" s="63"/>
      <c r="P9" s="63"/>
      <c r="Q9" s="63"/>
      <c r="R9" s="63"/>
      <c r="S9" s="63"/>
      <c r="T9" s="171">
        <v>5.7153999999999998</v>
      </c>
      <c r="U9" s="181">
        <v>2021</v>
      </c>
      <c r="V9" s="103">
        <f>+'14.IEPE'!D12</f>
        <v>2454210.44</v>
      </c>
      <c r="W9" s="74">
        <v>2022</v>
      </c>
      <c r="X9" s="186">
        <f>+V9/V10</f>
        <v>6.8399370133163879</v>
      </c>
      <c r="Y9" s="171" t="s">
        <v>358</v>
      </c>
      <c r="Z9" s="171" t="s">
        <v>465</v>
      </c>
    </row>
    <row r="10" spans="1:27" ht="51.4" customHeight="1" x14ac:dyDescent="0.25">
      <c r="A10" s="168"/>
      <c r="B10" s="168"/>
      <c r="C10" s="168"/>
      <c r="D10" s="168"/>
      <c r="E10" s="171"/>
      <c r="F10" s="146" t="s">
        <v>144</v>
      </c>
      <c r="G10" s="171" t="s">
        <v>208</v>
      </c>
      <c r="H10" s="171"/>
      <c r="I10" s="171"/>
      <c r="J10" s="182"/>
      <c r="K10" s="194"/>
      <c r="L10" s="63"/>
      <c r="M10" s="63"/>
      <c r="N10" s="63"/>
      <c r="O10" s="63"/>
      <c r="P10" s="63"/>
      <c r="Q10" s="63"/>
      <c r="R10" s="63"/>
      <c r="S10" s="63"/>
      <c r="T10" s="171"/>
      <c r="U10" s="182"/>
      <c r="V10" s="103">
        <f>+'14.IEPE'!C12</f>
        <v>358806</v>
      </c>
      <c r="W10" s="74">
        <v>2022</v>
      </c>
      <c r="X10" s="171"/>
      <c r="Y10" s="171"/>
      <c r="Z10" s="171"/>
    </row>
    <row r="11" spans="1:27" ht="159.75" customHeight="1" x14ac:dyDescent="0.25">
      <c r="A11" s="168"/>
      <c r="B11" s="168" t="s">
        <v>118</v>
      </c>
      <c r="C11" s="102">
        <v>4</v>
      </c>
      <c r="D11" s="102" t="s">
        <v>156</v>
      </c>
      <c r="E11" s="62" t="s">
        <v>157</v>
      </c>
      <c r="F11" s="146" t="s">
        <v>512</v>
      </c>
      <c r="G11" s="171" t="s">
        <v>208</v>
      </c>
      <c r="H11" s="171"/>
      <c r="I11" s="62" t="s">
        <v>206</v>
      </c>
      <c r="J11" s="63"/>
      <c r="K11" s="63"/>
      <c r="L11" s="63"/>
      <c r="M11" s="63"/>
      <c r="N11" s="63"/>
      <c r="O11" s="63"/>
      <c r="P11" s="63"/>
      <c r="Q11" s="63"/>
      <c r="R11" s="63"/>
      <c r="S11" s="63"/>
      <c r="T11" s="63"/>
      <c r="U11" s="63"/>
      <c r="V11" s="63">
        <f>46+8</f>
        <v>54</v>
      </c>
      <c r="W11" s="74">
        <v>2022</v>
      </c>
      <c r="X11" s="62">
        <v>299</v>
      </c>
      <c r="Y11" s="62" t="s">
        <v>506</v>
      </c>
      <c r="Z11" s="252" t="s">
        <v>507</v>
      </c>
    </row>
    <row r="12" spans="1:27" ht="123.75" customHeight="1" x14ac:dyDescent="0.25">
      <c r="A12" s="168"/>
      <c r="B12" s="168"/>
      <c r="C12" s="102">
        <v>5</v>
      </c>
      <c r="D12" s="102" t="s">
        <v>156</v>
      </c>
      <c r="E12" s="62" t="s">
        <v>157</v>
      </c>
      <c r="F12" s="146" t="s">
        <v>430</v>
      </c>
      <c r="G12" s="171" t="s">
        <v>208</v>
      </c>
      <c r="H12" s="171"/>
      <c r="I12" s="62" t="s">
        <v>206</v>
      </c>
      <c r="J12" s="63"/>
      <c r="K12" s="63"/>
      <c r="L12" s="63"/>
      <c r="M12" s="63"/>
      <c r="N12" s="63"/>
      <c r="O12" s="63"/>
      <c r="P12" s="63"/>
      <c r="Q12" s="63"/>
      <c r="R12" s="63"/>
      <c r="S12" s="63"/>
      <c r="T12" s="63"/>
      <c r="U12" s="63"/>
      <c r="V12" s="63">
        <v>0</v>
      </c>
      <c r="W12" s="74">
        <v>2022</v>
      </c>
      <c r="X12" s="62">
        <v>898</v>
      </c>
      <c r="Y12" s="62" t="s">
        <v>506</v>
      </c>
      <c r="Z12" s="252" t="s">
        <v>511</v>
      </c>
    </row>
    <row r="13" spans="1:27" ht="174" customHeight="1" x14ac:dyDescent="0.25">
      <c r="A13" s="168"/>
      <c r="B13" s="168"/>
      <c r="C13" s="102">
        <v>6</v>
      </c>
      <c r="D13" s="102" t="s">
        <v>156</v>
      </c>
      <c r="E13" s="62" t="s">
        <v>157</v>
      </c>
      <c r="F13" s="146" t="s">
        <v>433</v>
      </c>
      <c r="G13" s="171" t="s">
        <v>219</v>
      </c>
      <c r="H13" s="171" t="s">
        <v>220</v>
      </c>
      <c r="I13" s="62" t="s">
        <v>206</v>
      </c>
      <c r="J13" s="63"/>
      <c r="K13" s="63"/>
      <c r="L13" s="63"/>
      <c r="M13" s="63"/>
      <c r="N13" s="63"/>
      <c r="O13" s="63"/>
      <c r="P13" s="63"/>
      <c r="Q13" s="63"/>
      <c r="R13" s="63"/>
      <c r="S13" s="63"/>
      <c r="T13" s="63"/>
      <c r="U13" s="63"/>
      <c r="V13" s="63">
        <f>80+152+145</f>
        <v>377</v>
      </c>
      <c r="W13" s="74">
        <v>2022</v>
      </c>
      <c r="X13" s="64">
        <v>745</v>
      </c>
      <c r="Y13" s="62" t="s">
        <v>506</v>
      </c>
      <c r="Z13" s="252" t="s">
        <v>507</v>
      </c>
    </row>
    <row r="14" spans="1:27" ht="123.75" customHeight="1" x14ac:dyDescent="0.25">
      <c r="A14" s="168"/>
      <c r="B14" s="168"/>
      <c r="C14" s="102">
        <v>6</v>
      </c>
      <c r="D14" s="102" t="s">
        <v>156</v>
      </c>
      <c r="E14" s="62" t="s">
        <v>157</v>
      </c>
      <c r="F14" s="146" t="s">
        <v>431</v>
      </c>
      <c r="G14" s="171" t="s">
        <v>219</v>
      </c>
      <c r="H14" s="171" t="s">
        <v>220</v>
      </c>
      <c r="I14" s="62" t="s">
        <v>206</v>
      </c>
      <c r="J14" s="63"/>
      <c r="K14" s="63"/>
      <c r="L14" s="63"/>
      <c r="M14" s="63"/>
      <c r="N14" s="63"/>
      <c r="O14" s="63"/>
      <c r="P14" s="63"/>
      <c r="Q14" s="63"/>
      <c r="R14" s="63"/>
      <c r="S14" s="63"/>
      <c r="T14" s="63"/>
      <c r="U14" s="63"/>
      <c r="V14" s="63">
        <v>0</v>
      </c>
      <c r="W14" s="74">
        <v>2022</v>
      </c>
      <c r="X14" s="64">
        <v>5504</v>
      </c>
      <c r="Y14" s="62" t="s">
        <v>506</v>
      </c>
      <c r="Z14" s="252" t="s">
        <v>511</v>
      </c>
    </row>
    <row r="15" spans="1:27" ht="123.75" customHeight="1" x14ac:dyDescent="0.25">
      <c r="A15" s="168"/>
      <c r="B15" s="168"/>
      <c r="C15" s="102">
        <v>7</v>
      </c>
      <c r="D15" s="102" t="s">
        <v>156</v>
      </c>
      <c r="E15" s="62" t="s">
        <v>157</v>
      </c>
      <c r="F15" s="146" t="s">
        <v>432</v>
      </c>
      <c r="G15" s="171" t="s">
        <v>219</v>
      </c>
      <c r="H15" s="171" t="s">
        <v>220</v>
      </c>
      <c r="I15" s="62" t="s">
        <v>206</v>
      </c>
      <c r="J15" s="63"/>
      <c r="K15" s="63"/>
      <c r="L15" s="63"/>
      <c r="M15" s="63"/>
      <c r="N15" s="63"/>
      <c r="O15" s="63"/>
      <c r="P15" s="63"/>
      <c r="Q15" s="63"/>
      <c r="R15" s="63"/>
      <c r="S15" s="63"/>
      <c r="T15" s="63"/>
      <c r="U15" s="63"/>
      <c r="V15" s="63">
        <v>0</v>
      </c>
      <c r="W15" s="74">
        <v>2022</v>
      </c>
      <c r="X15" s="62">
        <v>690</v>
      </c>
      <c r="Y15" s="62" t="s">
        <v>506</v>
      </c>
      <c r="Z15" s="252" t="s">
        <v>511</v>
      </c>
    </row>
    <row r="16" spans="1:27" ht="78.75" x14ac:dyDescent="0.25">
      <c r="A16" s="166" t="s">
        <v>380</v>
      </c>
      <c r="B16" s="168" t="s">
        <v>120</v>
      </c>
      <c r="C16" s="171">
        <v>8</v>
      </c>
      <c r="D16" s="171" t="s">
        <v>121</v>
      </c>
      <c r="E16" s="171" t="s">
        <v>122</v>
      </c>
      <c r="F16" s="146" t="s">
        <v>123</v>
      </c>
      <c r="G16" s="171" t="s">
        <v>209</v>
      </c>
      <c r="H16" s="171"/>
      <c r="I16" s="62" t="s">
        <v>211</v>
      </c>
      <c r="K16" s="171"/>
      <c r="L16" s="171"/>
      <c r="M16" s="63"/>
      <c r="N16" s="63"/>
      <c r="O16" s="63"/>
      <c r="P16" s="63"/>
      <c r="Q16" s="63"/>
      <c r="R16" s="63"/>
      <c r="S16" s="63"/>
      <c r="T16" s="63"/>
      <c r="U16" s="63"/>
      <c r="V16" s="255">
        <f>+($X$16/100)*'15.DCTV'!H4</f>
        <v>133667.41387382476</v>
      </c>
      <c r="W16" s="74">
        <v>2022</v>
      </c>
      <c r="X16" s="186">
        <f>'5.CRA'!$C$19</f>
        <v>97.900625000000005</v>
      </c>
      <c r="Y16" s="69" t="s">
        <v>492</v>
      </c>
      <c r="Z16" s="62"/>
    </row>
    <row r="17" spans="1:26" ht="31.5" x14ac:dyDescent="0.25">
      <c r="A17" s="184"/>
      <c r="B17" s="168"/>
      <c r="C17" s="171"/>
      <c r="D17" s="171"/>
      <c r="E17" s="171"/>
      <c r="F17" s="146" t="s">
        <v>124</v>
      </c>
      <c r="G17" s="171" t="s">
        <v>208</v>
      </c>
      <c r="H17" s="171"/>
      <c r="I17" s="62" t="s">
        <v>316</v>
      </c>
      <c r="K17" s="171"/>
      <c r="L17" s="171"/>
      <c r="M17" s="63"/>
      <c r="N17" s="63"/>
      <c r="O17" s="63"/>
      <c r="P17" s="63"/>
      <c r="Q17" s="63"/>
      <c r="R17" s="63"/>
      <c r="S17" s="63"/>
      <c r="T17" s="63"/>
      <c r="U17" s="63"/>
      <c r="V17" s="256">
        <f>+'15.DCTV'!H4</f>
        <v>136533.7697014955</v>
      </c>
      <c r="W17" s="74">
        <v>2022</v>
      </c>
      <c r="X17" s="171"/>
      <c r="Y17" s="69"/>
      <c r="Z17" s="62"/>
    </row>
    <row r="18" spans="1:26" ht="46.7" customHeight="1" x14ac:dyDescent="0.25">
      <c r="A18" s="184"/>
      <c r="B18" s="168"/>
      <c r="C18" s="171">
        <v>9</v>
      </c>
      <c r="D18" s="171" t="s">
        <v>125</v>
      </c>
      <c r="E18" s="171" t="s">
        <v>126</v>
      </c>
      <c r="F18" s="146" t="s">
        <v>127</v>
      </c>
      <c r="G18" s="171" t="s">
        <v>209</v>
      </c>
      <c r="H18" s="171"/>
      <c r="I18" s="62" t="s">
        <v>212</v>
      </c>
      <c r="K18" s="171"/>
      <c r="L18" s="171"/>
      <c r="M18" s="63"/>
      <c r="N18" s="63"/>
      <c r="O18" s="63"/>
      <c r="P18" s="63"/>
      <c r="Q18" s="63"/>
      <c r="R18" s="63"/>
      <c r="S18" s="63"/>
      <c r="T18" s="63"/>
      <c r="U18" s="63"/>
      <c r="V18" s="255">
        <f>+(X18/100)*V17</f>
        <v>133667.41387382476</v>
      </c>
      <c r="W18" s="74">
        <v>2022</v>
      </c>
      <c r="X18" s="171">
        <f>'6.CRAT'!$C$20</f>
        <v>97.900625000000005</v>
      </c>
      <c r="Y18" s="69" t="s">
        <v>492</v>
      </c>
      <c r="Z18" s="62"/>
    </row>
    <row r="19" spans="1:26" ht="63" x14ac:dyDescent="0.25">
      <c r="A19" s="184"/>
      <c r="B19" s="168"/>
      <c r="C19" s="171"/>
      <c r="D19" s="171"/>
      <c r="E19" s="171"/>
      <c r="F19" s="146" t="s">
        <v>128</v>
      </c>
      <c r="G19" s="171" t="s">
        <v>208</v>
      </c>
      <c r="H19" s="171"/>
      <c r="I19" s="62" t="s">
        <v>204</v>
      </c>
      <c r="K19" s="171"/>
      <c r="L19" s="171"/>
      <c r="M19" s="63"/>
      <c r="N19" s="63"/>
      <c r="O19" s="63"/>
      <c r="P19" s="63"/>
      <c r="Q19" s="63"/>
      <c r="R19" s="63"/>
      <c r="S19" s="63"/>
      <c r="T19" s="63"/>
      <c r="U19" s="63"/>
      <c r="V19" s="255">
        <f>+V16</f>
        <v>133667.41387382476</v>
      </c>
      <c r="W19" s="74">
        <v>2022</v>
      </c>
      <c r="X19" s="171"/>
      <c r="Y19" s="69"/>
      <c r="Z19" s="62"/>
    </row>
    <row r="20" spans="1:26" ht="47.25" x14ac:dyDescent="0.25">
      <c r="A20" s="184"/>
      <c r="B20" s="168"/>
      <c r="C20" s="171">
        <v>10</v>
      </c>
      <c r="D20" s="171" t="s">
        <v>129</v>
      </c>
      <c r="E20" s="171" t="s">
        <v>130</v>
      </c>
      <c r="F20" s="146" t="s">
        <v>131</v>
      </c>
      <c r="G20" s="171" t="s">
        <v>209</v>
      </c>
      <c r="H20" s="171"/>
      <c r="I20" s="62" t="s">
        <v>204</v>
      </c>
      <c r="J20" s="173"/>
      <c r="K20" s="173"/>
      <c r="L20" s="173"/>
      <c r="M20" s="63"/>
      <c r="N20" s="63"/>
      <c r="O20" s="63"/>
      <c r="P20" s="63"/>
      <c r="Q20" s="63"/>
      <c r="R20" s="63"/>
      <c r="S20" s="63"/>
      <c r="T20" s="63"/>
      <c r="U20" s="63"/>
      <c r="V20" s="63">
        <v>0</v>
      </c>
      <c r="W20" s="74">
        <v>2022</v>
      </c>
      <c r="X20" s="174"/>
      <c r="Y20" s="62" t="s">
        <v>377</v>
      </c>
      <c r="Z20" s="62" t="s">
        <v>513</v>
      </c>
    </row>
    <row r="21" spans="1:26" ht="15.4" customHeight="1" x14ac:dyDescent="0.25">
      <c r="A21" s="184"/>
      <c r="B21" s="168"/>
      <c r="C21" s="171"/>
      <c r="D21" s="171"/>
      <c r="E21" s="171"/>
      <c r="F21" s="146" t="s">
        <v>132</v>
      </c>
      <c r="G21" s="171" t="s">
        <v>208</v>
      </c>
      <c r="H21" s="171"/>
      <c r="I21" s="62" t="s">
        <v>202</v>
      </c>
      <c r="J21" s="173"/>
      <c r="K21" s="173"/>
      <c r="L21" s="173"/>
      <c r="M21" s="63"/>
      <c r="N21" s="63"/>
      <c r="O21" s="63"/>
      <c r="P21" s="63"/>
      <c r="Q21" s="63"/>
      <c r="R21" s="63"/>
      <c r="S21" s="63"/>
      <c r="T21" s="63"/>
      <c r="U21" s="63"/>
      <c r="V21" s="63">
        <v>0</v>
      </c>
      <c r="W21" s="74">
        <v>2022</v>
      </c>
      <c r="X21" s="174"/>
      <c r="Y21" s="62"/>
      <c r="Z21" s="62" t="s">
        <v>513</v>
      </c>
    </row>
    <row r="22" spans="1:26" ht="63" x14ac:dyDescent="0.25">
      <c r="A22" s="184"/>
      <c r="B22" s="168"/>
      <c r="C22" s="171">
        <v>11</v>
      </c>
      <c r="D22" s="171" t="s">
        <v>133</v>
      </c>
      <c r="E22" s="171" t="s">
        <v>134</v>
      </c>
      <c r="F22" s="146" t="s">
        <v>135</v>
      </c>
      <c r="G22" s="171" t="s">
        <v>209</v>
      </c>
      <c r="H22" s="171"/>
      <c r="I22" s="62" t="s">
        <v>207</v>
      </c>
      <c r="L22" s="171"/>
      <c r="M22" s="63"/>
      <c r="N22" s="63"/>
      <c r="O22" s="63"/>
      <c r="P22" s="63"/>
      <c r="Q22" s="63"/>
      <c r="R22" s="63"/>
      <c r="S22" s="63"/>
      <c r="T22" s="63"/>
      <c r="U22" s="63"/>
      <c r="V22" s="255">
        <f>+(X22/100)*V17</f>
        <v>128966.38551579011</v>
      </c>
      <c r="W22" s="74">
        <v>2022</v>
      </c>
      <c r="X22" s="171">
        <f>'8.CRAC'!$C$20</f>
        <v>94.457499999999996</v>
      </c>
      <c r="Y22" s="62" t="s">
        <v>378</v>
      </c>
      <c r="Z22" s="171" t="s">
        <v>317</v>
      </c>
    </row>
    <row r="23" spans="1:26" ht="31.5" x14ac:dyDescent="0.25">
      <c r="A23" s="184"/>
      <c r="B23" s="168"/>
      <c r="C23" s="171"/>
      <c r="D23" s="171"/>
      <c r="E23" s="171"/>
      <c r="F23" s="146" t="s">
        <v>124</v>
      </c>
      <c r="G23" s="171" t="s">
        <v>208</v>
      </c>
      <c r="H23" s="171"/>
      <c r="I23" s="62" t="s">
        <v>303</v>
      </c>
      <c r="L23" s="171"/>
      <c r="M23" s="63"/>
      <c r="N23" s="63"/>
      <c r="O23" s="63"/>
      <c r="P23" s="63"/>
      <c r="Q23" s="63"/>
      <c r="R23" s="63"/>
      <c r="S23" s="63"/>
      <c r="T23" s="63"/>
      <c r="U23" s="63"/>
      <c r="V23" s="256">
        <f>+'15.DCTV'!H4</f>
        <v>136533.7697014955</v>
      </c>
      <c r="W23" s="74">
        <v>2022</v>
      </c>
      <c r="X23" s="171"/>
      <c r="Y23" s="62"/>
      <c r="Z23" s="171"/>
    </row>
    <row r="24" spans="1:26" ht="47.25" x14ac:dyDescent="0.25">
      <c r="A24" s="184"/>
      <c r="B24" s="168"/>
      <c r="C24" s="171">
        <v>12</v>
      </c>
      <c r="D24" s="171" t="s">
        <v>136</v>
      </c>
      <c r="E24" s="171" t="s">
        <v>137</v>
      </c>
      <c r="F24" s="146" t="s">
        <v>138</v>
      </c>
      <c r="G24" s="171" t="s">
        <v>208</v>
      </c>
      <c r="H24" s="171"/>
      <c r="I24" s="62" t="s">
        <v>204</v>
      </c>
      <c r="J24" s="173"/>
      <c r="K24" s="173"/>
      <c r="L24" s="173"/>
      <c r="M24" s="63"/>
      <c r="N24" s="63"/>
      <c r="O24" s="63"/>
      <c r="P24" s="63"/>
      <c r="Q24" s="63"/>
      <c r="R24" s="63"/>
      <c r="S24" s="63"/>
      <c r="T24" s="63"/>
      <c r="U24" s="63"/>
      <c r="V24" s="63">
        <v>0</v>
      </c>
      <c r="W24" s="74">
        <v>2022</v>
      </c>
      <c r="X24" s="175">
        <v>0</v>
      </c>
      <c r="Y24" s="62" t="s">
        <v>379</v>
      </c>
      <c r="Z24" s="62" t="s">
        <v>513</v>
      </c>
    </row>
    <row r="25" spans="1:26" ht="15.4" customHeight="1" x14ac:dyDescent="0.25">
      <c r="A25" s="184"/>
      <c r="B25" s="168"/>
      <c r="C25" s="171"/>
      <c r="D25" s="171"/>
      <c r="E25" s="171"/>
      <c r="F25" s="146" t="s">
        <v>139</v>
      </c>
      <c r="G25" s="171" t="s">
        <v>208</v>
      </c>
      <c r="H25" s="171"/>
      <c r="I25" s="62" t="s">
        <v>204</v>
      </c>
      <c r="J25" s="173"/>
      <c r="K25" s="173"/>
      <c r="L25" s="173"/>
      <c r="M25" s="63"/>
      <c r="N25" s="63"/>
      <c r="O25" s="63"/>
      <c r="P25" s="63"/>
      <c r="Q25" s="63"/>
      <c r="R25" s="63"/>
      <c r="S25" s="63"/>
      <c r="T25" s="63"/>
      <c r="U25" s="63"/>
      <c r="V25" s="63">
        <v>0</v>
      </c>
      <c r="W25" s="74">
        <v>2022</v>
      </c>
      <c r="X25" s="176"/>
      <c r="Y25" s="62"/>
      <c r="Z25" s="62" t="s">
        <v>513</v>
      </c>
    </row>
    <row r="26" spans="1:26" ht="47.25" x14ac:dyDescent="0.25">
      <c r="A26" s="184"/>
      <c r="B26" s="168"/>
      <c r="C26" s="168">
        <v>13</v>
      </c>
      <c r="D26" s="168" t="s">
        <v>158</v>
      </c>
      <c r="E26" s="171" t="s">
        <v>159</v>
      </c>
      <c r="F26" s="146" t="s">
        <v>160</v>
      </c>
      <c r="G26" s="171" t="s">
        <v>217</v>
      </c>
      <c r="H26" s="171"/>
      <c r="I26" s="62" t="s">
        <v>206</v>
      </c>
      <c r="J26" s="63"/>
      <c r="K26" s="63"/>
      <c r="L26" s="63"/>
      <c r="M26" s="63"/>
      <c r="N26" s="63"/>
      <c r="O26" s="63"/>
      <c r="P26" s="63"/>
      <c r="Q26" s="63"/>
      <c r="R26" s="63"/>
      <c r="S26" s="63"/>
      <c r="T26" s="63"/>
      <c r="U26" s="63"/>
      <c r="V26" s="63">
        <v>0</v>
      </c>
      <c r="W26" s="74">
        <v>2022</v>
      </c>
      <c r="X26" s="174">
        <v>0</v>
      </c>
      <c r="Y26" s="171" t="s">
        <v>218</v>
      </c>
      <c r="Z26" s="171" t="s">
        <v>514</v>
      </c>
    </row>
    <row r="27" spans="1:26" ht="63" x14ac:dyDescent="0.25">
      <c r="A27" s="184"/>
      <c r="B27" s="168"/>
      <c r="C27" s="168"/>
      <c r="D27" s="168"/>
      <c r="E27" s="171"/>
      <c r="F27" s="146" t="s">
        <v>161</v>
      </c>
      <c r="G27" s="171" t="s">
        <v>235</v>
      </c>
      <c r="H27" s="171"/>
      <c r="I27" s="62" t="s">
        <v>206</v>
      </c>
      <c r="J27" s="63"/>
      <c r="K27" s="63"/>
      <c r="L27" s="63"/>
      <c r="M27" s="63"/>
      <c r="N27" s="63"/>
      <c r="O27" s="63"/>
      <c r="P27" s="63"/>
      <c r="Q27" s="63"/>
      <c r="R27" s="63"/>
      <c r="S27" s="63"/>
      <c r="T27" s="63"/>
      <c r="U27" s="63"/>
      <c r="V27" s="63">
        <v>0</v>
      </c>
      <c r="W27" s="74">
        <v>2022</v>
      </c>
      <c r="X27" s="174"/>
      <c r="Y27" s="171"/>
      <c r="Z27" s="171"/>
    </row>
    <row r="28" spans="1:26" ht="15.4" customHeight="1" x14ac:dyDescent="0.25">
      <c r="A28" s="184"/>
      <c r="B28" s="168"/>
      <c r="C28" s="168">
        <v>14</v>
      </c>
      <c r="D28" s="168" t="s">
        <v>162</v>
      </c>
      <c r="E28" s="171" t="s">
        <v>163</v>
      </c>
      <c r="F28" s="172" t="s">
        <v>164</v>
      </c>
      <c r="G28" s="62" t="s">
        <v>221</v>
      </c>
      <c r="H28" s="171" t="s">
        <v>234</v>
      </c>
      <c r="I28" s="62" t="s">
        <v>206</v>
      </c>
      <c r="J28" s="63"/>
      <c r="K28" s="63"/>
      <c r="L28" s="63"/>
      <c r="M28" s="63"/>
      <c r="N28" s="63"/>
      <c r="O28" s="63"/>
      <c r="P28" s="63"/>
      <c r="Q28" s="63"/>
      <c r="R28" s="63"/>
      <c r="S28" s="63"/>
      <c r="T28" s="63"/>
      <c r="U28" s="63"/>
      <c r="V28" s="63">
        <v>0</v>
      </c>
      <c r="W28" s="74">
        <v>2022</v>
      </c>
      <c r="X28" s="174">
        <v>0</v>
      </c>
      <c r="Y28" s="171" t="s">
        <v>165</v>
      </c>
      <c r="Z28" s="171" t="s">
        <v>195</v>
      </c>
    </row>
    <row r="29" spans="1:26" ht="38.25" customHeight="1" x14ac:dyDescent="0.25">
      <c r="A29" s="184"/>
      <c r="B29" s="168"/>
      <c r="C29" s="168"/>
      <c r="D29" s="168"/>
      <c r="E29" s="171"/>
      <c r="F29" s="172"/>
      <c r="G29" s="62" t="s">
        <v>222</v>
      </c>
      <c r="H29" s="171"/>
      <c r="I29" s="62" t="s">
        <v>206</v>
      </c>
      <c r="J29" s="63"/>
      <c r="K29" s="63"/>
      <c r="L29" s="63"/>
      <c r="M29" s="63"/>
      <c r="N29" s="63"/>
      <c r="O29" s="63"/>
      <c r="P29" s="63"/>
      <c r="Q29" s="63"/>
      <c r="R29" s="63"/>
      <c r="S29" s="63"/>
      <c r="T29" s="63"/>
      <c r="U29" s="63"/>
      <c r="V29" s="63">
        <v>0</v>
      </c>
      <c r="W29" s="74">
        <v>2022</v>
      </c>
      <c r="X29" s="174"/>
      <c r="Y29" s="171"/>
      <c r="Z29" s="171"/>
    </row>
    <row r="30" spans="1:26" ht="15.4" customHeight="1" x14ac:dyDescent="0.25">
      <c r="A30" s="184"/>
      <c r="B30" s="168"/>
      <c r="C30" s="168"/>
      <c r="D30" s="168"/>
      <c r="E30" s="171"/>
      <c r="F30" s="172"/>
      <c r="G30" s="62" t="s">
        <v>223</v>
      </c>
      <c r="H30" s="171"/>
      <c r="I30" s="62" t="s">
        <v>206</v>
      </c>
      <c r="J30" s="63"/>
      <c r="K30" s="63"/>
      <c r="L30" s="63"/>
      <c r="M30" s="63"/>
      <c r="N30" s="63"/>
      <c r="O30" s="63"/>
      <c r="P30" s="63"/>
      <c r="Q30" s="63"/>
      <c r="R30" s="63"/>
      <c r="S30" s="63"/>
      <c r="T30" s="63"/>
      <c r="U30" s="63"/>
      <c r="V30" s="63">
        <v>0</v>
      </c>
      <c r="W30" s="74">
        <v>2022</v>
      </c>
      <c r="X30" s="174"/>
      <c r="Y30" s="171"/>
      <c r="Z30" s="171"/>
    </row>
    <row r="31" spans="1:26" ht="15.4" customHeight="1" x14ac:dyDescent="0.25">
      <c r="A31" s="184"/>
      <c r="B31" s="168"/>
      <c r="C31" s="168"/>
      <c r="D31" s="168"/>
      <c r="E31" s="171"/>
      <c r="F31" s="172" t="s">
        <v>166</v>
      </c>
      <c r="G31" s="62" t="s">
        <v>221</v>
      </c>
      <c r="H31" s="171" t="s">
        <v>233</v>
      </c>
      <c r="I31" s="62" t="s">
        <v>206</v>
      </c>
      <c r="J31" s="63"/>
      <c r="K31" s="63"/>
      <c r="L31" s="63"/>
      <c r="M31" s="63"/>
      <c r="N31" s="63"/>
      <c r="O31" s="63"/>
      <c r="P31" s="63"/>
      <c r="Q31" s="63"/>
      <c r="R31" s="63"/>
      <c r="S31" s="63"/>
      <c r="T31" s="63"/>
      <c r="U31" s="63"/>
      <c r="V31" s="63">
        <v>0</v>
      </c>
      <c r="W31" s="74">
        <v>2022</v>
      </c>
      <c r="X31" s="174"/>
      <c r="Y31" s="171"/>
      <c r="Z31" s="171"/>
    </row>
    <row r="32" spans="1:26" ht="15.4" customHeight="1" x14ac:dyDescent="0.25">
      <c r="A32" s="184"/>
      <c r="B32" s="168"/>
      <c r="C32" s="168"/>
      <c r="D32" s="168"/>
      <c r="E32" s="171"/>
      <c r="F32" s="172"/>
      <c r="G32" s="62" t="s">
        <v>222</v>
      </c>
      <c r="H32" s="171"/>
      <c r="I32" s="62" t="s">
        <v>206</v>
      </c>
      <c r="J32" s="63"/>
      <c r="K32" s="63"/>
      <c r="L32" s="63"/>
      <c r="M32" s="63"/>
      <c r="N32" s="63"/>
      <c r="O32" s="63"/>
      <c r="P32" s="63"/>
      <c r="Q32" s="63"/>
      <c r="R32" s="63"/>
      <c r="S32" s="63"/>
      <c r="T32" s="63"/>
      <c r="U32" s="63"/>
      <c r="V32" s="63">
        <v>0</v>
      </c>
      <c r="W32" s="74">
        <v>2022</v>
      </c>
      <c r="X32" s="174"/>
      <c r="Y32" s="171"/>
      <c r="Z32" s="171"/>
    </row>
    <row r="33" spans="1:26" ht="54.75" customHeight="1" x14ac:dyDescent="0.25">
      <c r="A33" s="184"/>
      <c r="B33" s="168"/>
      <c r="C33" s="168"/>
      <c r="D33" s="168"/>
      <c r="E33" s="171"/>
      <c r="F33" s="172"/>
      <c r="G33" s="62" t="s">
        <v>223</v>
      </c>
      <c r="H33" s="171"/>
      <c r="I33" s="62" t="s">
        <v>206</v>
      </c>
      <c r="J33" s="63"/>
      <c r="K33" s="63"/>
      <c r="L33" s="63"/>
      <c r="M33" s="63"/>
      <c r="N33" s="63"/>
      <c r="O33" s="63"/>
      <c r="P33" s="63"/>
      <c r="Q33" s="63"/>
      <c r="R33" s="63"/>
      <c r="S33" s="63"/>
      <c r="T33" s="63"/>
      <c r="U33" s="63"/>
      <c r="V33" s="63">
        <v>0</v>
      </c>
      <c r="W33" s="74">
        <v>2022</v>
      </c>
      <c r="X33" s="174"/>
      <c r="Y33" s="171"/>
      <c r="Z33" s="171"/>
    </row>
    <row r="34" spans="1:26" ht="47.25" x14ac:dyDescent="0.25">
      <c r="A34" s="184"/>
      <c r="B34" s="168"/>
      <c r="C34" s="168">
        <v>15</v>
      </c>
      <c r="D34" s="168" t="s">
        <v>167</v>
      </c>
      <c r="E34" s="171" t="s">
        <v>168</v>
      </c>
      <c r="F34" s="146" t="s">
        <v>169</v>
      </c>
      <c r="G34" s="171" t="s">
        <v>208</v>
      </c>
      <c r="H34" s="171"/>
      <c r="I34" s="62" t="s">
        <v>206</v>
      </c>
      <c r="J34" s="63"/>
      <c r="K34" s="63"/>
      <c r="L34" s="63"/>
      <c r="M34" s="63"/>
      <c r="N34" s="63"/>
      <c r="O34" s="63"/>
      <c r="P34" s="63"/>
      <c r="Q34" s="63"/>
      <c r="R34" s="63"/>
      <c r="S34" s="63"/>
      <c r="T34" s="63"/>
      <c r="U34" s="63"/>
      <c r="V34" s="63">
        <v>0</v>
      </c>
      <c r="W34" s="74">
        <v>2022</v>
      </c>
      <c r="X34" s="174">
        <v>0</v>
      </c>
      <c r="Y34" s="171" t="s">
        <v>170</v>
      </c>
      <c r="Z34" s="171" t="s">
        <v>224</v>
      </c>
    </row>
    <row r="35" spans="1:26" ht="63" x14ac:dyDescent="0.25">
      <c r="A35" s="184"/>
      <c r="B35" s="168"/>
      <c r="C35" s="168"/>
      <c r="D35" s="168"/>
      <c r="E35" s="171"/>
      <c r="F35" s="146" t="s">
        <v>171</v>
      </c>
      <c r="G35" s="171" t="s">
        <v>232</v>
      </c>
      <c r="H35" s="171"/>
      <c r="I35" s="62" t="s">
        <v>206</v>
      </c>
      <c r="J35" s="63"/>
      <c r="K35" s="63"/>
      <c r="L35" s="63"/>
      <c r="M35" s="63"/>
      <c r="N35" s="63"/>
      <c r="O35" s="63"/>
      <c r="P35" s="63"/>
      <c r="Q35" s="63"/>
      <c r="R35" s="63"/>
      <c r="S35" s="63"/>
      <c r="T35" s="63"/>
      <c r="U35" s="63"/>
      <c r="V35" s="63">
        <v>0</v>
      </c>
      <c r="W35" s="74">
        <v>2022</v>
      </c>
      <c r="X35" s="174"/>
      <c r="Y35" s="171"/>
      <c r="Z35" s="171"/>
    </row>
    <row r="36" spans="1:26" ht="30" customHeight="1" x14ac:dyDescent="0.25">
      <c r="A36" s="184"/>
      <c r="B36" s="168" t="s">
        <v>173</v>
      </c>
      <c r="C36" s="166">
        <v>16</v>
      </c>
      <c r="D36" s="169" t="s">
        <v>145</v>
      </c>
      <c r="E36" s="170" t="s">
        <v>359</v>
      </c>
      <c r="F36" s="152" t="s">
        <v>360</v>
      </c>
      <c r="G36" s="171" t="s">
        <v>208</v>
      </c>
      <c r="H36" s="171"/>
      <c r="I36" s="62"/>
      <c r="J36" s="63"/>
      <c r="K36" s="63"/>
      <c r="L36" s="63"/>
      <c r="M36" s="63"/>
      <c r="N36" s="73">
        <v>10485</v>
      </c>
      <c r="O36" s="73">
        <v>2005</v>
      </c>
      <c r="P36" s="101">
        <f>+N36/N37</f>
        <v>0.14110569805937609</v>
      </c>
      <c r="Q36" s="63"/>
      <c r="R36" s="63"/>
      <c r="S36" s="63"/>
      <c r="T36" s="73">
        <v>2002</v>
      </c>
      <c r="U36" s="73">
        <v>2018</v>
      </c>
      <c r="V36" s="75">
        <v>2002</v>
      </c>
      <c r="W36" s="74">
        <v>2018</v>
      </c>
      <c r="X36" s="187">
        <f>+T36/T37</f>
        <v>1.8999174361553718E-2</v>
      </c>
      <c r="Y36" s="70" t="s">
        <v>486</v>
      </c>
      <c r="Z36" s="62"/>
    </row>
    <row r="37" spans="1:26" ht="47.25" x14ac:dyDescent="0.25">
      <c r="A37" s="184"/>
      <c r="B37" s="168"/>
      <c r="C37" s="167"/>
      <c r="D37" s="169"/>
      <c r="E37" s="170"/>
      <c r="F37" s="152" t="s">
        <v>361</v>
      </c>
      <c r="G37" s="171" t="s">
        <v>208</v>
      </c>
      <c r="H37" s="171"/>
      <c r="I37" s="62"/>
      <c r="J37" s="63"/>
      <c r="K37" s="63"/>
      <c r="L37" s="63"/>
      <c r="M37" s="63"/>
      <c r="N37" s="73">
        <v>74306</v>
      </c>
      <c r="O37" s="73">
        <v>2005</v>
      </c>
      <c r="P37" s="101"/>
      <c r="Q37" s="63"/>
      <c r="R37" s="63"/>
      <c r="S37" s="63"/>
      <c r="T37" s="73">
        <v>105373</v>
      </c>
      <c r="U37" s="73">
        <v>2018</v>
      </c>
      <c r="V37" s="147">
        <f>+'15.DCTV'!I4</f>
        <v>124735.68018318673</v>
      </c>
      <c r="W37" s="74">
        <v>2022</v>
      </c>
      <c r="X37" s="188"/>
      <c r="Y37" s="70" t="s">
        <v>486</v>
      </c>
      <c r="Z37" s="62"/>
    </row>
    <row r="38" spans="1:26" ht="47.25" x14ac:dyDescent="0.25">
      <c r="A38" s="184"/>
      <c r="B38" s="168"/>
      <c r="C38" s="166">
        <v>17</v>
      </c>
      <c r="D38" s="169" t="s">
        <v>362</v>
      </c>
      <c r="E38" s="170" t="s">
        <v>363</v>
      </c>
      <c r="F38" s="152" t="s">
        <v>364</v>
      </c>
      <c r="G38" s="171" t="s">
        <v>208</v>
      </c>
      <c r="H38" s="171"/>
      <c r="I38" s="62"/>
      <c r="J38" s="63"/>
      <c r="K38" s="63"/>
      <c r="L38" s="63"/>
      <c r="M38" s="63"/>
      <c r="N38" s="73">
        <v>3641</v>
      </c>
      <c r="O38" s="73">
        <v>2005</v>
      </c>
      <c r="P38" s="101">
        <f>+N38/N39</f>
        <v>4.9000080747180576E-2</v>
      </c>
      <c r="Q38" s="63"/>
      <c r="R38" s="63"/>
      <c r="S38" s="63"/>
      <c r="T38" s="73">
        <v>25784</v>
      </c>
      <c r="U38" s="73">
        <v>2018</v>
      </c>
      <c r="V38" s="75">
        <v>25784</v>
      </c>
      <c r="W38" s="74">
        <v>2018</v>
      </c>
      <c r="X38" s="187">
        <f>+T38/T39</f>
        <v>0.2446926632059446</v>
      </c>
      <c r="Y38" s="70" t="s">
        <v>486</v>
      </c>
      <c r="Z38" s="62"/>
    </row>
    <row r="39" spans="1:26" ht="47.25" x14ac:dyDescent="0.25">
      <c r="A39" s="184"/>
      <c r="B39" s="168"/>
      <c r="C39" s="167"/>
      <c r="D39" s="169"/>
      <c r="E39" s="170"/>
      <c r="F39" s="152" t="s">
        <v>361</v>
      </c>
      <c r="G39" s="171" t="s">
        <v>208</v>
      </c>
      <c r="H39" s="171"/>
      <c r="I39" s="62"/>
      <c r="J39" s="63"/>
      <c r="K39" s="63"/>
      <c r="L39" s="63"/>
      <c r="M39" s="63"/>
      <c r="N39" s="73">
        <v>74306</v>
      </c>
      <c r="O39" s="73">
        <v>2005</v>
      </c>
      <c r="P39" s="63"/>
      <c r="Q39" s="63"/>
      <c r="R39" s="63"/>
      <c r="S39" s="63"/>
      <c r="T39" s="73">
        <v>105373</v>
      </c>
      <c r="U39" s="73">
        <v>2018</v>
      </c>
      <c r="V39" s="147">
        <f>+'15.DCTV'!I4</f>
        <v>124735.68018318673</v>
      </c>
      <c r="W39" s="74">
        <v>2022</v>
      </c>
      <c r="X39" s="188"/>
      <c r="Y39" s="70" t="s">
        <v>486</v>
      </c>
      <c r="Z39" s="62"/>
    </row>
    <row r="40" spans="1:26" ht="15.75" customHeight="1" x14ac:dyDescent="0.25">
      <c r="A40" s="184"/>
      <c r="B40" s="168"/>
      <c r="C40" s="168">
        <v>18</v>
      </c>
      <c r="D40" s="168" t="s">
        <v>174</v>
      </c>
      <c r="E40" s="171" t="s">
        <v>175</v>
      </c>
      <c r="F40" s="146" t="s">
        <v>434</v>
      </c>
      <c r="G40" s="171" t="s">
        <v>216</v>
      </c>
      <c r="H40" s="171"/>
      <c r="I40" s="62" t="s">
        <v>202</v>
      </c>
      <c r="J40" s="63"/>
      <c r="K40" s="63"/>
      <c r="L40" s="63"/>
      <c r="M40" s="63"/>
      <c r="N40" s="63"/>
      <c r="O40" s="63"/>
      <c r="P40" s="63"/>
      <c r="Q40" s="63"/>
      <c r="R40" s="63"/>
      <c r="S40" s="63"/>
      <c r="T40" s="63"/>
      <c r="U40" s="63"/>
      <c r="V40" s="162">
        <f>1651350.641483/10000</f>
        <v>165.13506414829999</v>
      </c>
      <c r="W40" s="74">
        <v>2022</v>
      </c>
      <c r="X40" s="192">
        <f>+V40/V41</f>
        <v>1.6452905370236521E-3</v>
      </c>
      <c r="Z40" s="171"/>
    </row>
    <row r="41" spans="1:26" ht="31.5" x14ac:dyDescent="0.25">
      <c r="A41" s="184"/>
      <c r="B41" s="168"/>
      <c r="C41" s="168"/>
      <c r="D41" s="168"/>
      <c r="E41" s="171"/>
      <c r="F41" s="146" t="s">
        <v>435</v>
      </c>
      <c r="G41" s="171" t="s">
        <v>216</v>
      </c>
      <c r="H41" s="171"/>
      <c r="I41" s="62" t="s">
        <v>202</v>
      </c>
      <c r="J41" s="63"/>
      <c r="K41" s="63"/>
      <c r="L41" s="63"/>
      <c r="M41" s="63"/>
      <c r="N41" s="63"/>
      <c r="O41" s="63"/>
      <c r="P41" s="63"/>
      <c r="Q41" s="63"/>
      <c r="R41" s="63"/>
      <c r="S41" s="63"/>
      <c r="T41" s="63"/>
      <c r="U41" s="63"/>
      <c r="V41" s="74">
        <v>100368.33035400001</v>
      </c>
      <c r="W41" s="74">
        <v>2022</v>
      </c>
      <c r="X41" s="192"/>
      <c r="Y41" s="150"/>
      <c r="Z41" s="171"/>
    </row>
    <row r="42" spans="1:26" ht="15.4" customHeight="1" x14ac:dyDescent="0.25">
      <c r="A42" s="184"/>
      <c r="B42" s="198" t="s">
        <v>398</v>
      </c>
      <c r="C42" s="166">
        <v>19</v>
      </c>
      <c r="D42" s="166" t="s">
        <v>428</v>
      </c>
      <c r="E42" s="171" t="s">
        <v>184</v>
      </c>
      <c r="F42" s="195" t="s">
        <v>411</v>
      </c>
      <c r="G42" s="171" t="s">
        <v>399</v>
      </c>
      <c r="H42" s="171"/>
      <c r="I42" s="62"/>
      <c r="J42" s="63"/>
      <c r="K42" s="63"/>
      <c r="L42" s="63"/>
      <c r="M42" s="63"/>
      <c r="N42" s="63"/>
      <c r="O42" s="63"/>
      <c r="P42" s="76">
        <v>457398</v>
      </c>
      <c r="Q42" s="63" t="s">
        <v>427</v>
      </c>
      <c r="R42" s="76">
        <v>882824</v>
      </c>
      <c r="S42" s="63" t="s">
        <v>414</v>
      </c>
      <c r="T42" s="76">
        <v>668850</v>
      </c>
      <c r="U42" s="63" t="s">
        <v>413</v>
      </c>
      <c r="V42" s="148">
        <f>SUM([1]Hoja1!Q23:S23)</f>
        <v>607369</v>
      </c>
      <c r="W42" s="74" t="s">
        <v>484</v>
      </c>
      <c r="X42" s="149">
        <f>+V42/$V$54</f>
        <v>0.82165719696969697</v>
      </c>
      <c r="Y42" s="62" t="s">
        <v>485</v>
      </c>
      <c r="Z42" s="62"/>
    </row>
    <row r="43" spans="1:26" ht="15.4" customHeight="1" x14ac:dyDescent="0.25">
      <c r="A43" s="184"/>
      <c r="B43" s="199"/>
      <c r="C43" s="184"/>
      <c r="D43" s="184"/>
      <c r="E43" s="171"/>
      <c r="F43" s="196"/>
      <c r="G43" s="171" t="s">
        <v>400</v>
      </c>
      <c r="H43" s="171"/>
      <c r="I43" s="62"/>
      <c r="J43" s="63"/>
      <c r="K43" s="63"/>
      <c r="L43" s="63"/>
      <c r="M43" s="63"/>
      <c r="N43" s="63"/>
      <c r="O43" s="63"/>
      <c r="P43" s="76">
        <v>62181</v>
      </c>
      <c r="Q43" s="63" t="s">
        <v>427</v>
      </c>
      <c r="R43" s="76">
        <v>6196</v>
      </c>
      <c r="S43" s="63" t="s">
        <v>415</v>
      </c>
      <c r="T43" s="76">
        <v>19764</v>
      </c>
      <c r="U43" s="63" t="s">
        <v>413</v>
      </c>
      <c r="V43" s="148">
        <f>SUM([1]Hoja1!Q24:S24)</f>
        <v>7240</v>
      </c>
      <c r="W43" s="74" t="s">
        <v>484</v>
      </c>
      <c r="X43" s="149">
        <f t="shared" ref="X43:X54" si="0">+V43/$V$54</f>
        <v>9.7943722943722947E-3</v>
      </c>
      <c r="Y43" s="62"/>
      <c r="Z43" s="62"/>
    </row>
    <row r="44" spans="1:26" ht="15.4" customHeight="1" x14ac:dyDescent="0.25">
      <c r="A44" s="184"/>
      <c r="B44" s="199"/>
      <c r="C44" s="184"/>
      <c r="D44" s="184"/>
      <c r="E44" s="171"/>
      <c r="F44" s="196"/>
      <c r="G44" s="171" t="s">
        <v>401</v>
      </c>
      <c r="H44" s="171"/>
      <c r="I44" s="62"/>
      <c r="J44" s="63"/>
      <c r="K44" s="63"/>
      <c r="L44" s="63"/>
      <c r="M44" s="63"/>
      <c r="N44" s="63"/>
      <c r="O44" s="63"/>
      <c r="P44" s="76">
        <v>1224</v>
      </c>
      <c r="Q44" s="63" t="s">
        <v>427</v>
      </c>
      <c r="R44" s="76">
        <v>7006</v>
      </c>
      <c r="S44" s="63" t="s">
        <v>416</v>
      </c>
      <c r="T44" s="76">
        <v>6470</v>
      </c>
      <c r="U44" s="63" t="s">
        <v>413</v>
      </c>
      <c r="V44" s="148">
        <f>SUM([1]Hoja1!Q25:S25)</f>
        <v>151</v>
      </c>
      <c r="W44" s="74" t="s">
        <v>484</v>
      </c>
      <c r="X44" s="149">
        <f t="shared" si="0"/>
        <v>2.0427489177489178E-4</v>
      </c>
      <c r="Y44" s="62"/>
      <c r="Z44" s="62"/>
    </row>
    <row r="45" spans="1:26" ht="15.4" customHeight="1" x14ac:dyDescent="0.25">
      <c r="A45" s="184"/>
      <c r="B45" s="199"/>
      <c r="C45" s="184"/>
      <c r="D45" s="184"/>
      <c r="E45" s="171"/>
      <c r="F45" s="196"/>
      <c r="G45" s="171" t="s">
        <v>402</v>
      </c>
      <c r="H45" s="171"/>
      <c r="I45" s="62"/>
      <c r="J45" s="63"/>
      <c r="K45" s="63"/>
      <c r="L45" s="63"/>
      <c r="M45" s="63"/>
      <c r="N45" s="63"/>
      <c r="O45" s="63"/>
      <c r="P45" s="76">
        <v>17279</v>
      </c>
      <c r="Q45" s="63" t="s">
        <v>427</v>
      </c>
      <c r="R45" s="76">
        <v>80156</v>
      </c>
      <c r="S45" s="63" t="s">
        <v>417</v>
      </c>
      <c r="T45" s="76">
        <v>161929</v>
      </c>
      <c r="U45" s="63" t="s">
        <v>413</v>
      </c>
      <c r="V45" s="148">
        <f>SUM([1]Hoja1!Q26:S26)</f>
        <v>83457</v>
      </c>
      <c r="W45" s="74" t="s">
        <v>484</v>
      </c>
      <c r="X45" s="149">
        <f t="shared" si="0"/>
        <v>0.11290178571428572</v>
      </c>
      <c r="Y45" s="62"/>
      <c r="Z45" s="62"/>
    </row>
    <row r="46" spans="1:26" ht="15.4" customHeight="1" x14ac:dyDescent="0.25">
      <c r="A46" s="184"/>
      <c r="B46" s="199"/>
      <c r="C46" s="184"/>
      <c r="D46" s="184"/>
      <c r="E46" s="62"/>
      <c r="F46" s="196"/>
      <c r="G46" s="171" t="s">
        <v>403</v>
      </c>
      <c r="H46" s="171"/>
      <c r="I46" s="62"/>
      <c r="J46" s="63"/>
      <c r="K46" s="63"/>
      <c r="L46" s="63"/>
      <c r="M46" s="63"/>
      <c r="N46" s="63"/>
      <c r="O46" s="63"/>
      <c r="P46" s="76">
        <v>30653</v>
      </c>
      <c r="Q46" s="63" t="s">
        <v>427</v>
      </c>
      <c r="R46" s="76">
        <v>61042</v>
      </c>
      <c r="S46" s="63" t="s">
        <v>418</v>
      </c>
      <c r="T46" s="76">
        <v>66543</v>
      </c>
      <c r="U46" s="63" t="s">
        <v>413</v>
      </c>
      <c r="V46" s="148">
        <f>SUM([1]Hoja1!Q27:S27)</f>
        <v>25994</v>
      </c>
      <c r="W46" s="74" t="s">
        <v>484</v>
      </c>
      <c r="X46" s="149">
        <f t="shared" si="0"/>
        <v>3.5165043290043288E-2</v>
      </c>
      <c r="Y46" s="62"/>
      <c r="Z46" s="62"/>
    </row>
    <row r="47" spans="1:26" ht="15.4" customHeight="1" x14ac:dyDescent="0.25">
      <c r="A47" s="184"/>
      <c r="B47" s="199"/>
      <c r="C47" s="184"/>
      <c r="D47" s="184"/>
      <c r="E47" s="62"/>
      <c r="F47" s="196"/>
      <c r="G47" s="171" t="s">
        <v>404</v>
      </c>
      <c r="H47" s="171"/>
      <c r="I47" s="62"/>
      <c r="J47" s="63"/>
      <c r="K47" s="63"/>
      <c r="L47" s="63"/>
      <c r="M47" s="63"/>
      <c r="N47" s="63"/>
      <c r="O47" s="63"/>
      <c r="P47" s="76"/>
      <c r="Q47" s="63"/>
      <c r="R47" s="76">
        <v>1746</v>
      </c>
      <c r="S47" s="63" t="s">
        <v>419</v>
      </c>
      <c r="T47" s="76">
        <v>1573</v>
      </c>
      <c r="U47" s="63" t="s">
        <v>413</v>
      </c>
      <c r="V47" s="148">
        <f>SUM([1]Hoja1!Q28:S28)</f>
        <v>300</v>
      </c>
      <c r="W47" s="74" t="s">
        <v>484</v>
      </c>
      <c r="X47" s="149">
        <f t="shared" si="0"/>
        <v>4.0584415584415587E-4</v>
      </c>
      <c r="Y47" s="62"/>
      <c r="Z47" s="62"/>
    </row>
    <row r="48" spans="1:26" ht="15.4" customHeight="1" x14ac:dyDescent="0.25">
      <c r="A48" s="184"/>
      <c r="B48" s="199"/>
      <c r="C48" s="184"/>
      <c r="D48" s="184"/>
      <c r="E48" s="62"/>
      <c r="F48" s="196"/>
      <c r="G48" s="171" t="s">
        <v>405</v>
      </c>
      <c r="H48" s="171"/>
      <c r="I48" s="62"/>
      <c r="J48" s="63"/>
      <c r="K48" s="63"/>
      <c r="L48" s="63"/>
      <c r="M48" s="63"/>
      <c r="N48" s="63"/>
      <c r="O48" s="63"/>
      <c r="P48" s="76">
        <v>8985</v>
      </c>
      <c r="Q48" s="63" t="s">
        <v>427</v>
      </c>
      <c r="R48" s="76">
        <v>31484</v>
      </c>
      <c r="S48" s="63" t="s">
        <v>420</v>
      </c>
      <c r="T48" s="76">
        <v>14395</v>
      </c>
      <c r="U48" s="63" t="s">
        <v>413</v>
      </c>
      <c r="V48" s="148">
        <f>SUM([1]Hoja1!Q29:S29)</f>
        <v>6369</v>
      </c>
      <c r="W48" s="74" t="s">
        <v>484</v>
      </c>
      <c r="X48" s="149">
        <f t="shared" si="0"/>
        <v>8.6160714285714278E-3</v>
      </c>
      <c r="Y48" s="62"/>
      <c r="Z48" s="62"/>
    </row>
    <row r="49" spans="1:26" ht="15.4" customHeight="1" x14ac:dyDescent="0.25">
      <c r="A49" s="184"/>
      <c r="B49" s="199"/>
      <c r="C49" s="184"/>
      <c r="D49" s="184"/>
      <c r="E49" s="62"/>
      <c r="F49" s="196"/>
      <c r="G49" s="171" t="s">
        <v>406</v>
      </c>
      <c r="H49" s="171"/>
      <c r="I49" s="62"/>
      <c r="J49" s="63"/>
      <c r="K49" s="63"/>
      <c r="L49" s="63"/>
      <c r="M49" s="63"/>
      <c r="N49" s="63"/>
      <c r="O49" s="63"/>
      <c r="P49" s="76">
        <v>178</v>
      </c>
      <c r="Q49" s="63" t="s">
        <v>427</v>
      </c>
      <c r="R49" s="76">
        <v>11288</v>
      </c>
      <c r="S49" s="63" t="s">
        <v>421</v>
      </c>
      <c r="T49" s="76">
        <v>6457</v>
      </c>
      <c r="U49" s="63" t="s">
        <v>413</v>
      </c>
      <c r="V49" s="148">
        <f>SUM([1]Hoja1!Q30:S30)</f>
        <v>2469</v>
      </c>
      <c r="W49" s="74" t="s">
        <v>484</v>
      </c>
      <c r="X49" s="149">
        <f t="shared" si="0"/>
        <v>3.3400974025974027E-3</v>
      </c>
      <c r="Y49" s="62"/>
      <c r="Z49" s="62"/>
    </row>
    <row r="50" spans="1:26" ht="15.4" customHeight="1" x14ac:dyDescent="0.25">
      <c r="A50" s="184"/>
      <c r="B50" s="199"/>
      <c r="C50" s="184"/>
      <c r="D50" s="184"/>
      <c r="E50" s="62"/>
      <c r="F50" s="196"/>
      <c r="G50" s="171" t="s">
        <v>407</v>
      </c>
      <c r="H50" s="171"/>
      <c r="I50" s="62"/>
      <c r="J50" s="63"/>
      <c r="K50" s="63"/>
      <c r="L50" s="63"/>
      <c r="M50" s="63"/>
      <c r="N50" s="63"/>
      <c r="O50" s="63"/>
      <c r="P50" s="76">
        <v>1635</v>
      </c>
      <c r="Q50" s="63" t="s">
        <v>427</v>
      </c>
      <c r="R50" s="76">
        <v>6132</v>
      </c>
      <c r="S50" s="63" t="s">
        <v>422</v>
      </c>
      <c r="T50" s="76">
        <v>6404</v>
      </c>
      <c r="U50" s="63" t="s">
        <v>413</v>
      </c>
      <c r="V50" s="148">
        <f>SUM([1]Hoja1!Q31:S31)</f>
        <v>160</v>
      </c>
      <c r="W50" s="74" t="s">
        <v>484</v>
      </c>
      <c r="X50" s="149">
        <f t="shared" si="0"/>
        <v>2.1645021645021645E-4</v>
      </c>
      <c r="Y50" s="62"/>
      <c r="Z50" s="62"/>
    </row>
    <row r="51" spans="1:26" ht="15.4" customHeight="1" x14ac:dyDescent="0.25">
      <c r="A51" s="184"/>
      <c r="B51" s="199"/>
      <c r="C51" s="184"/>
      <c r="D51" s="184"/>
      <c r="E51" s="62"/>
      <c r="F51" s="196"/>
      <c r="G51" s="171" t="s">
        <v>408</v>
      </c>
      <c r="H51" s="171"/>
      <c r="I51" s="62"/>
      <c r="J51" s="63"/>
      <c r="K51" s="63"/>
      <c r="L51" s="63"/>
      <c r="M51" s="63"/>
      <c r="N51" s="63"/>
      <c r="O51" s="63"/>
      <c r="P51" s="76">
        <v>3286</v>
      </c>
      <c r="Q51" s="63" t="s">
        <v>427</v>
      </c>
      <c r="R51" s="76">
        <v>11403</v>
      </c>
      <c r="S51" s="63" t="s">
        <v>423</v>
      </c>
      <c r="T51" s="76">
        <v>10152</v>
      </c>
      <c r="U51" s="63" t="s">
        <v>413</v>
      </c>
      <c r="V51" s="148">
        <f>SUM([1]Hoja1!Q32:S32)</f>
        <v>3306</v>
      </c>
      <c r="W51" s="74" t="s">
        <v>484</v>
      </c>
      <c r="X51" s="149">
        <f t="shared" si="0"/>
        <v>4.4724025974025973E-3</v>
      </c>
      <c r="Y51" s="62"/>
      <c r="Z51" s="62"/>
    </row>
    <row r="52" spans="1:26" ht="15.4" customHeight="1" x14ac:dyDescent="0.25">
      <c r="A52" s="184"/>
      <c r="B52" s="199"/>
      <c r="C52" s="184"/>
      <c r="D52" s="184"/>
      <c r="E52" s="62"/>
      <c r="F52" s="196"/>
      <c r="G52" s="171" t="s">
        <v>409</v>
      </c>
      <c r="H52" s="171"/>
      <c r="I52" s="62"/>
      <c r="J52" s="63"/>
      <c r="K52" s="63"/>
      <c r="L52" s="63"/>
      <c r="M52" s="63"/>
      <c r="N52" s="63"/>
      <c r="O52" s="63"/>
      <c r="P52" s="76">
        <v>973</v>
      </c>
      <c r="Q52" s="63" t="s">
        <v>427</v>
      </c>
      <c r="R52" s="76">
        <v>87174</v>
      </c>
      <c r="S52" s="63" t="s">
        <v>424</v>
      </c>
      <c r="T52" s="76">
        <v>22053</v>
      </c>
      <c r="U52" s="63" t="s">
        <v>413</v>
      </c>
      <c r="V52" s="148">
        <f>SUM([1]Hoja1!Q33:S33)</f>
        <v>2385</v>
      </c>
      <c r="W52" s="74" t="s">
        <v>484</v>
      </c>
      <c r="X52" s="149">
        <f t="shared" si="0"/>
        <v>3.2264610389610392E-3</v>
      </c>
      <c r="Y52" s="62"/>
      <c r="Z52" s="62"/>
    </row>
    <row r="53" spans="1:26" ht="15.4" customHeight="1" x14ac:dyDescent="0.25">
      <c r="A53" s="184"/>
      <c r="B53" s="199"/>
      <c r="C53" s="184"/>
      <c r="D53" s="184"/>
      <c r="E53" s="62"/>
      <c r="F53" s="197"/>
      <c r="G53" s="171" t="s">
        <v>410</v>
      </c>
      <c r="H53" s="171"/>
      <c r="I53" s="62"/>
      <c r="J53" s="63"/>
      <c r="K53" s="63"/>
      <c r="L53" s="63"/>
      <c r="M53" s="63"/>
      <c r="N53" s="63"/>
      <c r="O53" s="63"/>
      <c r="P53" s="76">
        <v>537</v>
      </c>
      <c r="Q53" s="63" t="s">
        <v>427</v>
      </c>
      <c r="R53" s="76">
        <v>233</v>
      </c>
      <c r="S53" s="63" t="s">
        <v>425</v>
      </c>
      <c r="T53" s="76">
        <v>335</v>
      </c>
      <c r="U53" s="63" t="s">
        <v>413</v>
      </c>
      <c r="V53" s="148">
        <f>SUM([1]Hoja1!Q34:S34)</f>
        <v>0</v>
      </c>
      <c r="W53" s="74" t="s">
        <v>484</v>
      </c>
      <c r="X53" s="149">
        <f t="shared" si="0"/>
        <v>0</v>
      </c>
      <c r="Y53" s="62"/>
      <c r="Z53" s="62"/>
    </row>
    <row r="54" spans="1:26" ht="15.4" customHeight="1" x14ac:dyDescent="0.25">
      <c r="A54" s="184"/>
      <c r="B54" s="199"/>
      <c r="C54" s="167"/>
      <c r="D54" s="167"/>
      <c r="E54" s="62"/>
      <c r="F54" s="146" t="s">
        <v>412</v>
      </c>
      <c r="G54" s="171"/>
      <c r="H54" s="171"/>
      <c r="I54" s="62"/>
      <c r="J54" s="63"/>
      <c r="K54" s="63"/>
      <c r="L54" s="63"/>
      <c r="M54" s="63"/>
      <c r="N54" s="63"/>
      <c r="O54" s="63"/>
      <c r="P54" s="76">
        <v>584329</v>
      </c>
      <c r="Q54" s="63" t="s">
        <v>427</v>
      </c>
      <c r="R54" s="76">
        <v>1186684</v>
      </c>
      <c r="S54" s="63" t="s">
        <v>426</v>
      </c>
      <c r="T54" s="76">
        <v>984925</v>
      </c>
      <c r="U54" s="63" t="s">
        <v>413</v>
      </c>
      <c r="V54" s="76">
        <f>SUM(V42:V53)</f>
        <v>739200</v>
      </c>
      <c r="W54" s="74" t="s">
        <v>484</v>
      </c>
      <c r="X54" s="149">
        <f t="shared" si="0"/>
        <v>1</v>
      </c>
      <c r="Y54" s="62"/>
      <c r="Z54" s="62"/>
    </row>
    <row r="55" spans="1:26" x14ac:dyDescent="0.25">
      <c r="A55" s="168" t="s">
        <v>343</v>
      </c>
      <c r="B55" s="168" t="s">
        <v>146</v>
      </c>
      <c r="C55" s="166">
        <v>20</v>
      </c>
      <c r="D55" s="166" t="s">
        <v>393</v>
      </c>
      <c r="E55" s="171" t="s">
        <v>176</v>
      </c>
      <c r="F55" s="172" t="s">
        <v>487</v>
      </c>
      <c r="G55" s="171" t="s">
        <v>387</v>
      </c>
      <c r="H55" s="171"/>
      <c r="I55" s="62" t="s">
        <v>206</v>
      </c>
      <c r="J55" s="63"/>
      <c r="K55" s="63"/>
      <c r="L55" s="63"/>
      <c r="M55" s="63"/>
      <c r="N55" s="63"/>
      <c r="O55" s="63"/>
      <c r="P55" s="63"/>
      <c r="Q55" s="63"/>
      <c r="R55" s="63"/>
      <c r="S55" s="63"/>
      <c r="T55" s="63"/>
      <c r="U55" s="63"/>
      <c r="V55" s="63">
        <v>24</v>
      </c>
      <c r="W55" s="74">
        <v>2022</v>
      </c>
      <c r="X55" s="151">
        <f>+V55/$V$61</f>
        <v>6.4171122994652413E-2</v>
      </c>
      <c r="Y55" s="171" t="s">
        <v>147</v>
      </c>
      <c r="Z55" s="171" t="s">
        <v>225</v>
      </c>
    </row>
    <row r="56" spans="1:26" ht="15.4" customHeight="1" x14ac:dyDescent="0.25">
      <c r="A56" s="168"/>
      <c r="B56" s="168"/>
      <c r="C56" s="184"/>
      <c r="D56" s="184"/>
      <c r="E56" s="171"/>
      <c r="F56" s="172"/>
      <c r="G56" s="171" t="s">
        <v>388</v>
      </c>
      <c r="H56" s="171"/>
      <c r="I56" s="62" t="s">
        <v>206</v>
      </c>
      <c r="J56" s="63"/>
      <c r="K56" s="63"/>
      <c r="L56" s="63"/>
      <c r="M56" s="63"/>
      <c r="N56" s="63"/>
      <c r="O56" s="63"/>
      <c r="P56" s="63"/>
      <c r="Q56" s="63"/>
      <c r="R56" s="63"/>
      <c r="S56" s="63"/>
      <c r="T56" s="63"/>
      <c r="U56" s="63"/>
      <c r="V56" s="63">
        <v>9</v>
      </c>
      <c r="W56" s="74">
        <v>2022</v>
      </c>
      <c r="X56" s="151">
        <f t="shared" ref="X56:X61" si="1">+V56/$V$61</f>
        <v>2.4064171122994651E-2</v>
      </c>
      <c r="Y56" s="171"/>
      <c r="Z56" s="171"/>
    </row>
    <row r="57" spans="1:26" ht="15.4" customHeight="1" x14ac:dyDescent="0.25">
      <c r="A57" s="168"/>
      <c r="B57" s="168"/>
      <c r="C57" s="184"/>
      <c r="D57" s="184"/>
      <c r="E57" s="171"/>
      <c r="F57" s="172"/>
      <c r="G57" s="171" t="s">
        <v>389</v>
      </c>
      <c r="H57" s="171"/>
      <c r="I57" s="62" t="s">
        <v>206</v>
      </c>
      <c r="J57" s="63"/>
      <c r="K57" s="63"/>
      <c r="L57" s="63"/>
      <c r="M57" s="63"/>
      <c r="N57" s="63"/>
      <c r="O57" s="63"/>
      <c r="P57" s="63"/>
      <c r="Q57" s="63"/>
      <c r="R57" s="63"/>
      <c r="S57" s="63"/>
      <c r="T57" s="63"/>
      <c r="U57" s="63"/>
      <c r="V57" s="63">
        <v>71</v>
      </c>
      <c r="W57" s="74">
        <v>2022</v>
      </c>
      <c r="X57" s="151">
        <f t="shared" si="1"/>
        <v>0.18983957219251338</v>
      </c>
      <c r="Y57" s="171"/>
      <c r="Z57" s="171"/>
    </row>
    <row r="58" spans="1:26" ht="15.4" customHeight="1" x14ac:dyDescent="0.25">
      <c r="A58" s="168"/>
      <c r="B58" s="168"/>
      <c r="C58" s="184"/>
      <c r="D58" s="184"/>
      <c r="E58" s="171"/>
      <c r="F58" s="172"/>
      <c r="G58" s="171" t="s">
        <v>390</v>
      </c>
      <c r="H58" s="171"/>
      <c r="I58" s="62" t="s">
        <v>206</v>
      </c>
      <c r="J58" s="63"/>
      <c r="K58" s="63"/>
      <c r="L58" s="63"/>
      <c r="M58" s="63"/>
      <c r="N58" s="63"/>
      <c r="O58" s="63"/>
      <c r="P58" s="63"/>
      <c r="Q58" s="63"/>
      <c r="R58" s="63"/>
      <c r="S58" s="63"/>
      <c r="T58" s="63"/>
      <c r="U58" s="63"/>
      <c r="V58" s="63">
        <v>27</v>
      </c>
      <c r="W58" s="74">
        <v>2022</v>
      </c>
      <c r="X58" s="151">
        <f t="shared" si="1"/>
        <v>7.2192513368983954E-2</v>
      </c>
      <c r="Y58" s="171"/>
      <c r="Z58" s="171"/>
    </row>
    <row r="59" spans="1:26" ht="15.4" customHeight="1" x14ac:dyDescent="0.25">
      <c r="A59" s="168"/>
      <c r="B59" s="168"/>
      <c r="C59" s="184"/>
      <c r="D59" s="184"/>
      <c r="E59" s="171"/>
      <c r="F59" s="172"/>
      <c r="G59" s="171" t="s">
        <v>391</v>
      </c>
      <c r="H59" s="171"/>
      <c r="I59" s="62" t="s">
        <v>206</v>
      </c>
      <c r="J59" s="63"/>
      <c r="K59" s="63"/>
      <c r="L59" s="63"/>
      <c r="M59" s="63"/>
      <c r="N59" s="63"/>
      <c r="O59" s="63"/>
      <c r="P59" s="63"/>
      <c r="Q59" s="63"/>
      <c r="R59" s="63"/>
      <c r="S59" s="63"/>
      <c r="T59" s="63"/>
      <c r="U59" s="63"/>
      <c r="V59" s="63">
        <v>207</v>
      </c>
      <c r="W59" s="74">
        <v>2022</v>
      </c>
      <c r="X59" s="151">
        <f t="shared" si="1"/>
        <v>0.553475935828877</v>
      </c>
      <c r="Y59" s="171"/>
      <c r="Z59" s="171"/>
    </row>
    <row r="60" spans="1:26" ht="15.4" customHeight="1" x14ac:dyDescent="0.25">
      <c r="A60" s="168"/>
      <c r="B60" s="168"/>
      <c r="C60" s="184"/>
      <c r="D60" s="184"/>
      <c r="E60" s="171"/>
      <c r="F60" s="172"/>
      <c r="G60" s="171" t="s">
        <v>392</v>
      </c>
      <c r="H60" s="171"/>
      <c r="I60" s="62" t="s">
        <v>206</v>
      </c>
      <c r="J60" s="63"/>
      <c r="K60" s="63"/>
      <c r="L60" s="63"/>
      <c r="M60" s="63"/>
      <c r="N60" s="63"/>
      <c r="O60" s="63"/>
      <c r="P60" s="63"/>
      <c r="Q60" s="63"/>
      <c r="R60" s="63"/>
      <c r="S60" s="63"/>
      <c r="T60" s="63"/>
      <c r="U60" s="63"/>
      <c r="V60" s="63">
        <v>36</v>
      </c>
      <c r="W60" s="74">
        <v>2022</v>
      </c>
      <c r="X60" s="151">
        <f t="shared" si="1"/>
        <v>9.6256684491978606E-2</v>
      </c>
      <c r="Y60" s="171"/>
      <c r="Z60" s="171"/>
    </row>
    <row r="61" spans="1:26" ht="15.4" customHeight="1" x14ac:dyDescent="0.25">
      <c r="A61" s="168"/>
      <c r="B61" s="168"/>
      <c r="C61" s="167"/>
      <c r="D61" s="167"/>
      <c r="E61" s="171"/>
      <c r="F61" s="146" t="s">
        <v>394</v>
      </c>
      <c r="G61" s="171"/>
      <c r="H61" s="171"/>
      <c r="I61" s="62"/>
      <c r="J61" s="63"/>
      <c r="K61" s="63"/>
      <c r="L61" s="63"/>
      <c r="M61" s="63"/>
      <c r="N61" s="63"/>
      <c r="O61" s="63"/>
      <c r="P61" s="63"/>
      <c r="Q61" s="63"/>
      <c r="R61" s="63"/>
      <c r="S61" s="63"/>
      <c r="T61" s="63"/>
      <c r="U61" s="63"/>
      <c r="V61" s="63">
        <v>374</v>
      </c>
      <c r="W61" s="74">
        <v>2022</v>
      </c>
      <c r="X61" s="151">
        <f t="shared" si="1"/>
        <v>1</v>
      </c>
      <c r="Y61" s="171"/>
      <c r="Z61" s="171"/>
    </row>
    <row r="62" spans="1:26" x14ac:dyDescent="0.25">
      <c r="A62" s="168"/>
      <c r="B62" s="168"/>
      <c r="C62" s="166">
        <v>21</v>
      </c>
      <c r="D62" s="166" t="s">
        <v>393</v>
      </c>
      <c r="E62" s="171"/>
      <c r="F62" s="172" t="s">
        <v>395</v>
      </c>
      <c r="G62" s="171" t="s">
        <v>387</v>
      </c>
      <c r="H62" s="171"/>
      <c r="I62" s="62" t="s">
        <v>206</v>
      </c>
      <c r="J62" s="63"/>
      <c r="K62" s="63"/>
      <c r="L62" s="63"/>
      <c r="M62" s="63"/>
      <c r="N62" s="63"/>
      <c r="O62" s="63"/>
      <c r="P62" s="63"/>
      <c r="Q62" s="63"/>
      <c r="R62" s="63"/>
      <c r="S62" s="63"/>
      <c r="T62" s="63"/>
      <c r="U62" s="63"/>
      <c r="V62" s="63">
        <v>0</v>
      </c>
      <c r="W62" s="74">
        <v>2022</v>
      </c>
      <c r="X62" s="151">
        <f>+V62/$V$68</f>
        <v>0</v>
      </c>
      <c r="Y62" s="171"/>
      <c r="Z62" s="171"/>
    </row>
    <row r="63" spans="1:26" x14ac:dyDescent="0.25">
      <c r="A63" s="168"/>
      <c r="B63" s="168"/>
      <c r="C63" s="184"/>
      <c r="D63" s="184"/>
      <c r="E63" s="171"/>
      <c r="F63" s="172"/>
      <c r="G63" s="171" t="s">
        <v>388</v>
      </c>
      <c r="H63" s="171"/>
      <c r="I63" s="62" t="s">
        <v>206</v>
      </c>
      <c r="J63" s="63"/>
      <c r="K63" s="63"/>
      <c r="L63" s="63"/>
      <c r="M63" s="63"/>
      <c r="N63" s="63"/>
      <c r="O63" s="63"/>
      <c r="P63" s="63"/>
      <c r="Q63" s="63"/>
      <c r="R63" s="63"/>
      <c r="S63" s="63"/>
      <c r="T63" s="63"/>
      <c r="U63" s="63"/>
      <c r="V63" s="63">
        <v>3</v>
      </c>
      <c r="W63" s="74">
        <v>2022</v>
      </c>
      <c r="X63" s="151">
        <f t="shared" ref="X63:X68" si="2">+V63/$V$68</f>
        <v>2.7522935779816515E-2</v>
      </c>
      <c r="Y63" s="171"/>
      <c r="Z63" s="171"/>
    </row>
    <row r="64" spans="1:26" x14ac:dyDescent="0.25">
      <c r="A64" s="168"/>
      <c r="B64" s="168"/>
      <c r="C64" s="184"/>
      <c r="D64" s="184"/>
      <c r="E64" s="171"/>
      <c r="F64" s="172"/>
      <c r="G64" s="171" t="s">
        <v>389</v>
      </c>
      <c r="H64" s="171"/>
      <c r="I64" s="62" t="s">
        <v>206</v>
      </c>
      <c r="J64" s="63"/>
      <c r="K64" s="63"/>
      <c r="L64" s="63"/>
      <c r="M64" s="63"/>
      <c r="N64" s="63"/>
      <c r="O64" s="63"/>
      <c r="P64" s="63"/>
      <c r="Q64" s="63"/>
      <c r="R64" s="63"/>
      <c r="S64" s="63"/>
      <c r="T64" s="63"/>
      <c r="U64" s="63"/>
      <c r="V64" s="63">
        <v>16</v>
      </c>
      <c r="W64" s="74">
        <v>2022</v>
      </c>
      <c r="X64" s="151">
        <f t="shared" si="2"/>
        <v>0.14678899082568808</v>
      </c>
      <c r="Y64" s="171"/>
      <c r="Z64" s="171"/>
    </row>
    <row r="65" spans="1:26" x14ac:dyDescent="0.25">
      <c r="A65" s="168"/>
      <c r="B65" s="168"/>
      <c r="C65" s="184"/>
      <c r="D65" s="184"/>
      <c r="E65" s="171"/>
      <c r="F65" s="172"/>
      <c r="G65" s="171" t="s">
        <v>390</v>
      </c>
      <c r="H65" s="171"/>
      <c r="I65" s="62" t="s">
        <v>206</v>
      </c>
      <c r="J65" s="63"/>
      <c r="K65" s="63"/>
      <c r="L65" s="63"/>
      <c r="M65" s="63"/>
      <c r="N65" s="63"/>
      <c r="O65" s="63"/>
      <c r="P65" s="63"/>
      <c r="Q65" s="63"/>
      <c r="R65" s="63"/>
      <c r="S65" s="63"/>
      <c r="T65" s="63"/>
      <c r="U65" s="63"/>
      <c r="V65" s="63">
        <v>24</v>
      </c>
      <c r="W65" s="74">
        <v>2022</v>
      </c>
      <c r="X65" s="151">
        <f t="shared" si="2"/>
        <v>0.22018348623853212</v>
      </c>
      <c r="Y65" s="171"/>
      <c r="Z65" s="171"/>
    </row>
    <row r="66" spans="1:26" x14ac:dyDescent="0.25">
      <c r="A66" s="168"/>
      <c r="B66" s="168"/>
      <c r="C66" s="184"/>
      <c r="D66" s="184"/>
      <c r="E66" s="171"/>
      <c r="F66" s="172"/>
      <c r="G66" s="171" t="s">
        <v>391</v>
      </c>
      <c r="H66" s="171"/>
      <c r="I66" s="62" t="s">
        <v>206</v>
      </c>
      <c r="J66" s="63"/>
      <c r="K66" s="63"/>
      <c r="L66" s="63"/>
      <c r="M66" s="63"/>
      <c r="N66" s="63"/>
      <c r="O66" s="63"/>
      <c r="P66" s="63"/>
      <c r="Q66" s="63"/>
      <c r="R66" s="63"/>
      <c r="S66" s="63"/>
      <c r="T66" s="63"/>
      <c r="U66" s="63"/>
      <c r="V66" s="63">
        <v>65</v>
      </c>
      <c r="W66" s="74">
        <v>2022</v>
      </c>
      <c r="X66" s="151">
        <f t="shared" si="2"/>
        <v>0.59633027522935778</v>
      </c>
      <c r="Y66" s="171"/>
      <c r="Z66" s="171"/>
    </row>
    <row r="67" spans="1:26" x14ac:dyDescent="0.25">
      <c r="A67" s="168"/>
      <c r="B67" s="168"/>
      <c r="C67" s="184"/>
      <c r="D67" s="184"/>
      <c r="E67" s="171"/>
      <c r="F67" s="172"/>
      <c r="G67" s="171" t="s">
        <v>392</v>
      </c>
      <c r="H67" s="171"/>
      <c r="I67" s="62" t="s">
        <v>206</v>
      </c>
      <c r="J67" s="63"/>
      <c r="K67" s="63"/>
      <c r="L67" s="63"/>
      <c r="M67" s="63"/>
      <c r="N67" s="63"/>
      <c r="O67" s="63"/>
      <c r="P67" s="63"/>
      <c r="Q67" s="63"/>
      <c r="R67" s="63"/>
      <c r="S67" s="63"/>
      <c r="T67" s="63"/>
      <c r="U67" s="63"/>
      <c r="V67" s="63">
        <v>1</v>
      </c>
      <c r="W67" s="74">
        <v>2022</v>
      </c>
      <c r="X67" s="151">
        <f t="shared" si="2"/>
        <v>9.1743119266055051E-3</v>
      </c>
      <c r="Y67" s="171"/>
      <c r="Z67" s="171"/>
    </row>
    <row r="68" spans="1:26" x14ac:dyDescent="0.25">
      <c r="A68" s="168"/>
      <c r="B68" s="168"/>
      <c r="C68" s="167"/>
      <c r="D68" s="167"/>
      <c r="E68" s="62"/>
      <c r="F68" s="146" t="s">
        <v>394</v>
      </c>
      <c r="G68" s="171"/>
      <c r="H68" s="171"/>
      <c r="I68" s="62"/>
      <c r="J68" s="63"/>
      <c r="K68" s="63"/>
      <c r="L68" s="63"/>
      <c r="M68" s="63"/>
      <c r="N68" s="63"/>
      <c r="O68" s="63"/>
      <c r="P68" s="63"/>
      <c r="Q68" s="63"/>
      <c r="R68" s="63"/>
      <c r="S68" s="63"/>
      <c r="T68" s="63"/>
      <c r="U68" s="63"/>
      <c r="V68" s="63">
        <v>109</v>
      </c>
      <c r="W68" s="74">
        <v>2022</v>
      </c>
      <c r="X68" s="151">
        <f t="shared" si="2"/>
        <v>1</v>
      </c>
      <c r="Y68" s="62"/>
      <c r="Z68" s="62"/>
    </row>
    <row r="69" spans="1:26" ht="32.25" customHeight="1" x14ac:dyDescent="0.25">
      <c r="A69" s="166" t="s">
        <v>397</v>
      </c>
      <c r="B69" s="168" t="s">
        <v>495</v>
      </c>
      <c r="C69" s="168">
        <v>22</v>
      </c>
      <c r="D69" s="168" t="s">
        <v>185</v>
      </c>
      <c r="E69" s="171" t="s">
        <v>186</v>
      </c>
      <c r="F69" s="172" t="s">
        <v>488</v>
      </c>
      <c r="G69" s="171" t="s">
        <v>238</v>
      </c>
      <c r="H69" s="171"/>
      <c r="I69" s="62" t="s">
        <v>202</v>
      </c>
      <c r="J69" s="63"/>
      <c r="K69" s="63"/>
      <c r="L69" s="63"/>
      <c r="M69" s="63"/>
      <c r="N69" s="63"/>
      <c r="O69" s="63"/>
      <c r="P69" s="63"/>
      <c r="Q69" s="63"/>
      <c r="R69" s="63"/>
      <c r="S69" s="63"/>
      <c r="T69" s="63"/>
      <c r="U69" s="63"/>
      <c r="V69" s="63">
        <v>57083</v>
      </c>
      <c r="W69" s="74">
        <v>2022</v>
      </c>
      <c r="X69" s="189">
        <f>+(V69+V70+V71+V72)/V73</f>
        <v>0.93273710841052315</v>
      </c>
      <c r="Y69" s="171" t="s">
        <v>429</v>
      </c>
      <c r="Z69" s="171"/>
    </row>
    <row r="70" spans="1:26" ht="15.4" customHeight="1" x14ac:dyDescent="0.25">
      <c r="A70" s="184"/>
      <c r="B70" s="168"/>
      <c r="C70" s="168"/>
      <c r="D70" s="168"/>
      <c r="E70" s="171"/>
      <c r="F70" s="172"/>
      <c r="G70" s="171" t="s">
        <v>239</v>
      </c>
      <c r="H70" s="171"/>
      <c r="I70" s="62" t="s">
        <v>202</v>
      </c>
      <c r="J70" s="63"/>
      <c r="K70" s="63"/>
      <c r="L70" s="63"/>
      <c r="M70" s="63"/>
      <c r="N70" s="63"/>
      <c r="O70" s="63"/>
      <c r="P70" s="63"/>
      <c r="Q70" s="63"/>
      <c r="R70" s="63"/>
      <c r="S70" s="63"/>
      <c r="T70" s="63"/>
      <c r="U70" s="63"/>
      <c r="V70" s="63">
        <v>34904</v>
      </c>
      <c r="W70" s="74">
        <v>2022</v>
      </c>
      <c r="X70" s="190"/>
      <c r="Y70" s="171"/>
      <c r="Z70" s="171"/>
    </row>
    <row r="71" spans="1:26" ht="15.4" customHeight="1" x14ac:dyDescent="0.25">
      <c r="A71" s="184"/>
      <c r="B71" s="168"/>
      <c r="C71" s="168"/>
      <c r="D71" s="168"/>
      <c r="E71" s="171"/>
      <c r="F71" s="172"/>
      <c r="G71" s="171" t="s">
        <v>240</v>
      </c>
      <c r="H71" s="171"/>
      <c r="I71" s="62" t="s">
        <v>304</v>
      </c>
      <c r="J71" s="63"/>
      <c r="K71" s="63"/>
      <c r="L71" s="63"/>
      <c r="M71" s="63"/>
      <c r="N71" s="63"/>
      <c r="O71" s="63"/>
      <c r="P71" s="63"/>
      <c r="Q71" s="63"/>
      <c r="R71" s="63"/>
      <c r="S71" s="63"/>
      <c r="T71" s="63"/>
      <c r="U71" s="63"/>
      <c r="V71" s="63"/>
      <c r="W71" s="74">
        <v>2022</v>
      </c>
      <c r="X71" s="190"/>
      <c r="Y71" s="171"/>
      <c r="Z71" s="171"/>
    </row>
    <row r="72" spans="1:26" ht="36.75" customHeight="1" x14ac:dyDescent="0.25">
      <c r="A72" s="184"/>
      <c r="B72" s="168"/>
      <c r="C72" s="168"/>
      <c r="D72" s="168"/>
      <c r="E72" s="171"/>
      <c r="F72" s="172"/>
      <c r="G72" s="171" t="s">
        <v>241</v>
      </c>
      <c r="H72" s="171"/>
      <c r="I72" s="62" t="s">
        <v>304</v>
      </c>
      <c r="J72" s="63"/>
      <c r="K72" s="63"/>
      <c r="L72" s="63"/>
      <c r="M72" s="63"/>
      <c r="N72" s="63"/>
      <c r="O72" s="63"/>
      <c r="P72" s="63"/>
      <c r="Q72" s="63"/>
      <c r="R72" s="63"/>
      <c r="S72" s="63"/>
      <c r="T72" s="63"/>
      <c r="U72" s="63"/>
      <c r="V72" s="63"/>
      <c r="W72" s="74">
        <v>2022</v>
      </c>
      <c r="X72" s="190"/>
      <c r="Y72" s="171"/>
      <c r="Z72" s="171"/>
    </row>
    <row r="73" spans="1:26" ht="31.5" x14ac:dyDescent="0.25">
      <c r="A73" s="167"/>
      <c r="B73" s="168"/>
      <c r="C73" s="168"/>
      <c r="D73" s="168"/>
      <c r="E73" s="171"/>
      <c r="F73" s="146" t="s">
        <v>187</v>
      </c>
      <c r="G73" s="171" t="s">
        <v>210</v>
      </c>
      <c r="H73" s="171"/>
      <c r="I73" s="62" t="s">
        <v>203</v>
      </c>
      <c r="J73" s="63"/>
      <c r="K73" s="63"/>
      <c r="L73" s="63"/>
      <c r="M73" s="63"/>
      <c r="N73" s="63"/>
      <c r="O73" s="63"/>
      <c r="P73" s="63"/>
      <c r="Q73" s="63"/>
      <c r="R73" s="63"/>
      <c r="S73" s="63"/>
      <c r="T73" s="63"/>
      <c r="U73" s="63"/>
      <c r="V73" s="63">
        <v>98620.5</v>
      </c>
      <c r="W73" s="74">
        <v>2022</v>
      </c>
      <c r="X73" s="191"/>
      <c r="Y73" s="171"/>
      <c r="Z73" s="171"/>
    </row>
    <row r="74" spans="1:26" x14ac:dyDescent="0.25">
      <c r="A74" s="168" t="s">
        <v>344</v>
      </c>
      <c r="B74" s="168" t="s">
        <v>148</v>
      </c>
      <c r="C74" s="168">
        <v>23</v>
      </c>
      <c r="D74" s="168" t="s">
        <v>177</v>
      </c>
      <c r="E74" s="171" t="s">
        <v>178</v>
      </c>
      <c r="F74" s="172" t="s">
        <v>179</v>
      </c>
      <c r="G74" s="62" t="s">
        <v>226</v>
      </c>
      <c r="H74" s="171" t="s">
        <v>228</v>
      </c>
      <c r="I74" s="62" t="s">
        <v>204</v>
      </c>
      <c r="J74" s="63"/>
      <c r="K74" s="63"/>
      <c r="L74" s="63"/>
      <c r="M74" s="63"/>
      <c r="N74" s="63"/>
      <c r="O74" s="63"/>
      <c r="P74" s="63"/>
      <c r="Q74" s="63"/>
      <c r="R74" s="63"/>
      <c r="S74" s="63"/>
      <c r="T74" s="63"/>
      <c r="U74" s="63"/>
      <c r="V74" s="63">
        <f>0.78+1.3</f>
        <v>2.08</v>
      </c>
      <c r="W74" s="74">
        <v>2022</v>
      </c>
      <c r="X74" s="250">
        <f>+(V74+V75+V76)/(V77+V78+V79)</f>
        <v>8.3740488107895E-2</v>
      </c>
      <c r="Y74" s="171" t="s">
        <v>180</v>
      </c>
      <c r="Z74" s="171" t="s">
        <v>505</v>
      </c>
    </row>
    <row r="75" spans="1:26" x14ac:dyDescent="0.25">
      <c r="A75" s="168"/>
      <c r="B75" s="168"/>
      <c r="C75" s="168"/>
      <c r="D75" s="168"/>
      <c r="E75" s="171"/>
      <c r="F75" s="172"/>
      <c r="G75" s="62" t="s">
        <v>489</v>
      </c>
      <c r="H75" s="171"/>
      <c r="I75" s="62" t="s">
        <v>204</v>
      </c>
      <c r="J75" s="63"/>
      <c r="K75" s="63"/>
      <c r="L75" s="63"/>
      <c r="M75" s="63"/>
      <c r="N75" s="63"/>
      <c r="O75" s="63"/>
      <c r="P75" s="63"/>
      <c r="Q75" s="63"/>
      <c r="R75" s="63"/>
      <c r="S75" s="63"/>
      <c r="T75" s="63"/>
      <c r="U75" s="63"/>
      <c r="V75" s="63">
        <v>0</v>
      </c>
      <c r="W75" s="74">
        <v>2022</v>
      </c>
      <c r="X75" s="250"/>
      <c r="Y75" s="171"/>
      <c r="Z75" s="171"/>
    </row>
    <row r="76" spans="1:26" x14ac:dyDescent="0.25">
      <c r="A76" s="168"/>
      <c r="B76" s="168"/>
      <c r="C76" s="168"/>
      <c r="D76" s="168"/>
      <c r="E76" s="171"/>
      <c r="F76" s="172"/>
      <c r="G76" s="62" t="s">
        <v>227</v>
      </c>
      <c r="H76" s="171"/>
      <c r="I76" s="62" t="s">
        <v>204</v>
      </c>
      <c r="J76" s="63"/>
      <c r="K76" s="63"/>
      <c r="L76" s="63"/>
      <c r="M76" s="63"/>
      <c r="N76" s="63"/>
      <c r="O76" s="63"/>
      <c r="P76" s="63"/>
      <c r="Q76" s="63"/>
      <c r="R76" s="63"/>
      <c r="S76" s="63"/>
      <c r="T76" s="63"/>
      <c r="U76" s="63"/>
      <c r="V76" s="63">
        <f>50+4</f>
        <v>54</v>
      </c>
      <c r="W76" s="74">
        <v>2022</v>
      </c>
      <c r="X76" s="250"/>
      <c r="Y76" s="171"/>
      <c r="Z76" s="171"/>
    </row>
    <row r="77" spans="1:26" x14ac:dyDescent="0.25">
      <c r="A77" s="168"/>
      <c r="B77" s="168"/>
      <c r="C77" s="168"/>
      <c r="D77" s="168"/>
      <c r="E77" s="171"/>
      <c r="F77" s="172" t="s">
        <v>181</v>
      </c>
      <c r="G77" s="62" t="s">
        <v>229</v>
      </c>
      <c r="H77" s="171" t="s">
        <v>228</v>
      </c>
      <c r="I77" s="62" t="s">
        <v>204</v>
      </c>
      <c r="J77" s="63"/>
      <c r="K77" s="63"/>
      <c r="L77" s="63"/>
      <c r="M77" s="63"/>
      <c r="N77" s="63"/>
      <c r="O77" s="63"/>
      <c r="P77" s="63"/>
      <c r="Q77" s="63"/>
      <c r="R77" s="63"/>
      <c r="S77" s="63"/>
      <c r="T77" s="63"/>
      <c r="U77" s="63"/>
      <c r="V77" s="63">
        <v>381.13600000000002</v>
      </c>
      <c r="W77" s="74">
        <v>2022</v>
      </c>
      <c r="X77" s="250"/>
      <c r="Y77" s="171"/>
      <c r="Z77" s="171"/>
    </row>
    <row r="78" spans="1:26" x14ac:dyDescent="0.25">
      <c r="A78" s="168"/>
      <c r="B78" s="168"/>
      <c r="C78" s="168"/>
      <c r="D78" s="168"/>
      <c r="E78" s="171"/>
      <c r="F78" s="172"/>
      <c r="G78" s="62" t="s">
        <v>230</v>
      </c>
      <c r="H78" s="171"/>
      <c r="I78" s="62" t="s">
        <v>204</v>
      </c>
      <c r="J78" s="63"/>
      <c r="K78" s="63"/>
      <c r="L78" s="63"/>
      <c r="M78" s="63"/>
      <c r="N78" s="63"/>
      <c r="O78" s="63"/>
      <c r="P78" s="63"/>
      <c r="Q78" s="63"/>
      <c r="R78" s="63"/>
      <c r="S78" s="63"/>
      <c r="T78" s="63"/>
      <c r="U78" s="63"/>
      <c r="V78" s="63">
        <v>0</v>
      </c>
      <c r="W78" s="74">
        <v>2022</v>
      </c>
      <c r="X78" s="250"/>
      <c r="Y78" s="171"/>
      <c r="Z78" s="171"/>
    </row>
    <row r="79" spans="1:26" x14ac:dyDescent="0.25">
      <c r="A79" s="168"/>
      <c r="B79" s="168"/>
      <c r="C79" s="168"/>
      <c r="D79" s="168"/>
      <c r="E79" s="171"/>
      <c r="F79" s="172"/>
      <c r="G79" s="62" t="s">
        <v>231</v>
      </c>
      <c r="H79" s="171"/>
      <c r="I79" s="62" t="s">
        <v>204</v>
      </c>
      <c r="J79" s="63"/>
      <c r="K79" s="63"/>
      <c r="L79" s="63"/>
      <c r="M79" s="63"/>
      <c r="N79" s="63"/>
      <c r="O79" s="63"/>
      <c r="P79" s="63"/>
      <c r="Q79" s="63"/>
      <c r="R79" s="63"/>
      <c r="S79" s="63"/>
      <c r="T79" s="63"/>
      <c r="U79" s="63"/>
      <c r="V79" s="63">
        <v>288.55200000000002</v>
      </c>
      <c r="W79" s="74">
        <v>2022</v>
      </c>
      <c r="X79" s="250"/>
      <c r="Y79" s="171"/>
      <c r="Z79" s="171"/>
    </row>
    <row r="80" spans="1:26" x14ac:dyDescent="0.25">
      <c r="A80" s="168"/>
      <c r="B80" s="168"/>
      <c r="C80" s="168">
        <v>24</v>
      </c>
      <c r="D80" s="168" t="s">
        <v>149</v>
      </c>
      <c r="E80" s="171" t="s">
        <v>182</v>
      </c>
      <c r="F80" s="172" t="s">
        <v>150</v>
      </c>
      <c r="G80" s="171" t="s">
        <v>213</v>
      </c>
      <c r="H80" s="171"/>
      <c r="I80" s="62" t="s">
        <v>204</v>
      </c>
      <c r="J80" s="63"/>
      <c r="K80" s="63"/>
      <c r="L80" s="63"/>
      <c r="M80" s="63"/>
      <c r="N80" s="63"/>
      <c r="O80" s="63"/>
      <c r="P80" s="63"/>
      <c r="Q80" s="63"/>
      <c r="R80" s="63"/>
      <c r="S80" s="63"/>
      <c r="T80" s="63"/>
      <c r="U80" s="63"/>
      <c r="V80" s="63">
        <v>0</v>
      </c>
      <c r="W80" s="74">
        <v>2022</v>
      </c>
      <c r="X80" s="251">
        <f>+V80+V81+V82/V83</f>
        <v>6.1048346627628279E-2</v>
      </c>
      <c r="Y80" s="171" t="s">
        <v>183</v>
      </c>
      <c r="Z80" s="171" t="s">
        <v>504</v>
      </c>
    </row>
    <row r="81" spans="1:26" x14ac:dyDescent="0.25">
      <c r="A81" s="168"/>
      <c r="B81" s="168"/>
      <c r="C81" s="168"/>
      <c r="D81" s="168"/>
      <c r="E81" s="171"/>
      <c r="F81" s="172"/>
      <c r="G81" s="171" t="s">
        <v>236</v>
      </c>
      <c r="H81" s="171"/>
      <c r="I81" s="62" t="s">
        <v>204</v>
      </c>
      <c r="J81" s="63"/>
      <c r="K81" s="63"/>
      <c r="L81" s="63"/>
      <c r="M81" s="63"/>
      <c r="N81" s="63"/>
      <c r="O81" s="63"/>
      <c r="P81" s="63"/>
      <c r="Q81" s="63"/>
      <c r="R81" s="63"/>
      <c r="S81" s="63"/>
      <c r="T81" s="63"/>
      <c r="U81" s="63"/>
      <c r="V81" s="63">
        <v>0</v>
      </c>
      <c r="W81" s="74">
        <v>2022</v>
      </c>
      <c r="X81" s="251"/>
      <c r="Y81" s="171"/>
      <c r="Z81" s="171"/>
    </row>
    <row r="82" spans="1:26" x14ac:dyDescent="0.25">
      <c r="A82" s="168"/>
      <c r="B82" s="168"/>
      <c r="C82" s="168"/>
      <c r="D82" s="168"/>
      <c r="E82" s="171"/>
      <c r="F82" s="172"/>
      <c r="G82" s="171" t="s">
        <v>214</v>
      </c>
      <c r="H82" s="171"/>
      <c r="I82" s="62" t="s">
        <v>202</v>
      </c>
      <c r="J82" s="63"/>
      <c r="K82" s="63"/>
      <c r="L82" s="63"/>
      <c r="M82" s="63"/>
      <c r="N82" s="63"/>
      <c r="O82" s="63"/>
      <c r="P82" s="63"/>
      <c r="Q82" s="63"/>
      <c r="R82" s="63"/>
      <c r="S82" s="63"/>
      <c r="T82" s="63"/>
      <c r="U82" s="63"/>
      <c r="V82" s="63">
        <f>+'17. PASV'!D4</f>
        <v>50</v>
      </c>
      <c r="W82" s="74">
        <v>2022</v>
      </c>
      <c r="X82" s="251"/>
      <c r="Y82" s="171"/>
      <c r="Z82" s="171"/>
    </row>
    <row r="83" spans="1:26" ht="31.5" x14ac:dyDescent="0.25">
      <c r="A83" s="168"/>
      <c r="B83" s="168"/>
      <c r="C83" s="168"/>
      <c r="D83" s="168"/>
      <c r="E83" s="171"/>
      <c r="F83" s="146" t="s">
        <v>151</v>
      </c>
      <c r="G83" s="171" t="s">
        <v>208</v>
      </c>
      <c r="H83" s="171"/>
      <c r="I83" s="62" t="s">
        <v>202</v>
      </c>
      <c r="J83" s="63"/>
      <c r="K83" s="63"/>
      <c r="L83" s="63"/>
      <c r="M83" s="63"/>
      <c r="N83" s="63"/>
      <c r="O83" s="63"/>
      <c r="P83" s="63"/>
      <c r="Q83" s="63"/>
      <c r="R83" s="63"/>
      <c r="S83" s="63"/>
      <c r="T83" s="63"/>
      <c r="U83" s="63"/>
      <c r="V83" s="63">
        <f>+'17. PASV'!D5</f>
        <v>819.02300000000002</v>
      </c>
      <c r="W83" s="74">
        <v>2022</v>
      </c>
      <c r="X83" s="251"/>
      <c r="Y83" s="171"/>
      <c r="Z83" s="171"/>
    </row>
    <row r="84" spans="1:26" x14ac:dyDescent="0.25">
      <c r="A84" s="168"/>
      <c r="B84" s="168" t="s">
        <v>188</v>
      </c>
      <c r="C84" s="168">
        <v>25</v>
      </c>
      <c r="D84" s="168" t="s">
        <v>189</v>
      </c>
      <c r="E84" s="171" t="s">
        <v>190</v>
      </c>
      <c r="F84" s="172" t="s">
        <v>386</v>
      </c>
      <c r="G84" s="171" t="s">
        <v>242</v>
      </c>
      <c r="H84" s="171"/>
      <c r="I84" s="62" t="s">
        <v>204</v>
      </c>
      <c r="J84" s="63"/>
      <c r="K84" s="63"/>
      <c r="L84" s="63"/>
      <c r="M84" s="63"/>
      <c r="N84" s="63"/>
      <c r="O84" s="63"/>
      <c r="P84" s="63"/>
      <c r="Q84" s="63"/>
      <c r="R84" s="63"/>
      <c r="S84" s="63"/>
      <c r="T84" s="63"/>
      <c r="U84" s="63"/>
      <c r="V84" s="63"/>
      <c r="W84" s="74">
        <v>2022</v>
      </c>
      <c r="X84" s="171"/>
      <c r="Y84" s="171" t="s">
        <v>191</v>
      </c>
      <c r="Z84" s="171" t="s">
        <v>245</v>
      </c>
    </row>
    <row r="85" spans="1:26" x14ac:dyDescent="0.25">
      <c r="A85" s="168"/>
      <c r="B85" s="168"/>
      <c r="C85" s="168"/>
      <c r="D85" s="168"/>
      <c r="E85" s="171"/>
      <c r="F85" s="172"/>
      <c r="G85" s="171" t="s">
        <v>243</v>
      </c>
      <c r="H85" s="171"/>
      <c r="I85" s="62" t="s">
        <v>204</v>
      </c>
      <c r="J85" s="63"/>
      <c r="K85" s="63"/>
      <c r="L85" s="63"/>
      <c r="M85" s="63"/>
      <c r="N85" s="63"/>
      <c r="O85" s="63"/>
      <c r="P85" s="63"/>
      <c r="Q85" s="63"/>
      <c r="R85" s="63"/>
      <c r="S85" s="63"/>
      <c r="T85" s="63"/>
      <c r="U85" s="63"/>
      <c r="V85" s="63"/>
      <c r="W85" s="74">
        <v>2022</v>
      </c>
      <c r="X85" s="171"/>
      <c r="Y85" s="171"/>
      <c r="Z85" s="171"/>
    </row>
    <row r="86" spans="1:26" x14ac:dyDescent="0.25">
      <c r="A86" s="168"/>
      <c r="B86" s="168"/>
      <c r="C86" s="168"/>
      <c r="D86" s="168"/>
      <c r="E86" s="171"/>
      <c r="F86" s="172"/>
      <c r="G86" s="171" t="s">
        <v>244</v>
      </c>
      <c r="H86" s="171"/>
      <c r="I86" s="62" t="s">
        <v>204</v>
      </c>
      <c r="J86" s="63"/>
      <c r="K86" s="63"/>
      <c r="L86" s="63"/>
      <c r="M86" s="63"/>
      <c r="N86" s="63"/>
      <c r="O86" s="63"/>
      <c r="P86" s="63"/>
      <c r="Q86" s="63"/>
      <c r="R86" s="63"/>
      <c r="S86" s="63"/>
      <c r="T86" s="63"/>
      <c r="U86" s="63"/>
      <c r="V86" s="63"/>
      <c r="W86" s="74">
        <v>2022</v>
      </c>
      <c r="X86" s="171"/>
      <c r="Y86" s="171"/>
      <c r="Z86" s="171"/>
    </row>
    <row r="87" spans="1:26" ht="47.25" x14ac:dyDescent="0.25">
      <c r="A87" s="169"/>
      <c r="B87" s="169" t="s">
        <v>365</v>
      </c>
      <c r="C87" s="71">
        <v>26</v>
      </c>
      <c r="D87" s="102" t="s">
        <v>366</v>
      </c>
      <c r="E87" s="62" t="s">
        <v>367</v>
      </c>
      <c r="F87" s="146" t="s">
        <v>368</v>
      </c>
      <c r="G87" s="171" t="s">
        <v>237</v>
      </c>
      <c r="H87" s="171"/>
      <c r="I87" s="62" t="s">
        <v>375</v>
      </c>
      <c r="J87" s="63"/>
      <c r="K87" s="63"/>
      <c r="L87" s="63"/>
      <c r="M87" s="63"/>
      <c r="N87" s="63">
        <v>4</v>
      </c>
      <c r="O87" s="63">
        <v>2006</v>
      </c>
      <c r="P87" s="63">
        <v>2</v>
      </c>
      <c r="Q87" s="63">
        <v>2009</v>
      </c>
      <c r="R87" s="63">
        <v>3</v>
      </c>
      <c r="S87" s="63">
        <v>2005</v>
      </c>
      <c r="T87" s="63">
        <v>3</v>
      </c>
      <c r="U87" s="63">
        <v>2019</v>
      </c>
      <c r="V87" s="63">
        <v>5</v>
      </c>
      <c r="W87" s="74">
        <v>2022</v>
      </c>
      <c r="X87" s="62">
        <f>+N87+P87+R87+T87+V87</f>
        <v>17</v>
      </c>
      <c r="Y87" s="62" t="s">
        <v>376</v>
      </c>
      <c r="Z87" s="62"/>
    </row>
    <row r="88" spans="1:26" ht="47.25" x14ac:dyDescent="0.25">
      <c r="A88" s="169"/>
      <c r="B88" s="169"/>
      <c r="C88" s="71">
        <v>28</v>
      </c>
      <c r="D88" s="102" t="s">
        <v>369</v>
      </c>
      <c r="E88" s="62" t="s">
        <v>370</v>
      </c>
      <c r="F88" s="146" t="s">
        <v>371</v>
      </c>
      <c r="G88" s="171" t="s">
        <v>237</v>
      </c>
      <c r="H88" s="171"/>
      <c r="I88" s="62" t="s">
        <v>375</v>
      </c>
      <c r="J88" s="63"/>
      <c r="K88" s="63"/>
      <c r="L88" s="63"/>
      <c r="M88" s="63"/>
      <c r="N88" s="63">
        <v>4</v>
      </c>
      <c r="O88" s="63">
        <v>2006</v>
      </c>
      <c r="P88" s="63"/>
      <c r="Q88" s="63"/>
      <c r="R88" s="63"/>
      <c r="S88" s="63"/>
      <c r="T88" s="63"/>
      <c r="U88" s="63"/>
      <c r="V88" s="63">
        <v>1</v>
      </c>
      <c r="W88" s="74">
        <v>2022</v>
      </c>
      <c r="X88" s="62">
        <v>5</v>
      </c>
      <c r="Y88" s="62" t="s">
        <v>376</v>
      </c>
      <c r="Z88" s="62"/>
    </row>
    <row r="89" spans="1:26" ht="47.25" x14ac:dyDescent="0.25">
      <c r="A89" s="169"/>
      <c r="B89" s="169"/>
      <c r="C89" s="71">
        <v>29</v>
      </c>
      <c r="D89" s="102" t="s">
        <v>372</v>
      </c>
      <c r="E89" s="62" t="s">
        <v>373</v>
      </c>
      <c r="F89" s="146" t="s">
        <v>374</v>
      </c>
      <c r="G89" s="171" t="s">
        <v>237</v>
      </c>
      <c r="H89" s="171"/>
      <c r="I89" s="62" t="s">
        <v>375</v>
      </c>
      <c r="J89" s="63">
        <v>1</v>
      </c>
      <c r="K89" s="63">
        <v>2001</v>
      </c>
      <c r="L89" s="63"/>
      <c r="M89" s="63"/>
      <c r="N89" s="63"/>
      <c r="O89" s="63"/>
      <c r="P89" s="63"/>
      <c r="Q89" s="63"/>
      <c r="R89" s="63"/>
      <c r="S89" s="63"/>
      <c r="T89" s="63"/>
      <c r="U89" s="63"/>
      <c r="V89" s="63">
        <v>1</v>
      </c>
      <c r="W89" s="63">
        <v>2022</v>
      </c>
      <c r="X89" s="62">
        <v>2</v>
      </c>
      <c r="Y89" s="62" t="s">
        <v>376</v>
      </c>
      <c r="Z89" s="62"/>
    </row>
    <row r="90" spans="1:26" x14ac:dyDescent="0.25">
      <c r="A90" s="168" t="s">
        <v>381</v>
      </c>
      <c r="B90" s="59"/>
    </row>
    <row r="91" spans="1:26" x14ac:dyDescent="0.25">
      <c r="A91" s="168"/>
      <c r="B91" s="59"/>
    </row>
    <row r="92" spans="1:26" x14ac:dyDescent="0.25">
      <c r="A92" s="168"/>
      <c r="B92" s="59"/>
    </row>
    <row r="93" spans="1:26" x14ac:dyDescent="0.25">
      <c r="A93" s="168"/>
      <c r="B93" s="59"/>
    </row>
    <row r="94" spans="1:26" x14ac:dyDescent="0.25">
      <c r="A94" s="168"/>
      <c r="B94" s="59"/>
    </row>
    <row r="95" spans="1:26" x14ac:dyDescent="0.25">
      <c r="A95" s="168"/>
      <c r="B95" s="59"/>
    </row>
    <row r="96" spans="1:26" ht="47.25" x14ac:dyDescent="0.25">
      <c r="A96" s="168"/>
      <c r="B96" s="59"/>
      <c r="C96" s="163">
        <f>+COUNTA(C5:C89)</f>
        <v>29</v>
      </c>
      <c r="D96" s="163" t="s">
        <v>494</v>
      </c>
      <c r="W96" s="163" t="s">
        <v>493</v>
      </c>
      <c r="X96" s="164">
        <f>+COUNTA(X5:X41,X61,X68,X69:X89)/C96</f>
        <v>0.89655172413793105</v>
      </c>
    </row>
    <row r="97" spans="1:2" x14ac:dyDescent="0.25">
      <c r="A97" s="168"/>
      <c r="B97" s="59"/>
    </row>
    <row r="98" spans="1:2" x14ac:dyDescent="0.25">
      <c r="A98" s="168"/>
      <c r="B98" s="59"/>
    </row>
    <row r="99" spans="1:2" x14ac:dyDescent="0.25">
      <c r="A99" s="168"/>
      <c r="B99" s="59"/>
    </row>
    <row r="100" spans="1:2" x14ac:dyDescent="0.25">
      <c r="A100" s="59"/>
      <c r="B100" s="59"/>
    </row>
    <row r="101" spans="1:2" x14ac:dyDescent="0.25">
      <c r="A101" s="59"/>
      <c r="B101" s="59"/>
    </row>
    <row r="102" spans="1:2" x14ac:dyDescent="0.25">
      <c r="A102" s="59"/>
      <c r="B102" s="59"/>
    </row>
    <row r="103" spans="1:2" x14ac:dyDescent="0.25">
      <c r="A103" s="59"/>
      <c r="B103" s="59"/>
    </row>
    <row r="104" spans="1:2" x14ac:dyDescent="0.25">
      <c r="A104" s="59"/>
      <c r="B104" s="59"/>
    </row>
    <row r="105" spans="1:2" x14ac:dyDescent="0.25">
      <c r="A105" s="59"/>
      <c r="B105" s="59"/>
    </row>
    <row r="106" spans="1:2" x14ac:dyDescent="0.25">
      <c r="A106" s="59"/>
      <c r="B106" s="59"/>
    </row>
    <row r="107" spans="1:2" x14ac:dyDescent="0.25">
      <c r="A107" s="59"/>
      <c r="B107" s="59"/>
    </row>
    <row r="108" spans="1:2" x14ac:dyDescent="0.25">
      <c r="A108" s="59"/>
      <c r="B108" s="59"/>
    </row>
    <row r="109" spans="1:2" x14ac:dyDescent="0.25">
      <c r="A109" s="59"/>
      <c r="B109" s="59"/>
    </row>
    <row r="110" spans="1:2" x14ac:dyDescent="0.25">
      <c r="A110" s="59"/>
      <c r="B110" s="59"/>
    </row>
    <row r="111" spans="1:2" x14ac:dyDescent="0.25">
      <c r="A111" s="59"/>
      <c r="B111" s="59"/>
    </row>
    <row r="112" spans="1:2" x14ac:dyDescent="0.25">
      <c r="A112" s="59"/>
      <c r="B112" s="59"/>
    </row>
    <row r="113" spans="1:2" x14ac:dyDescent="0.25">
      <c r="A113" s="59"/>
      <c r="B113" s="59"/>
    </row>
    <row r="114" spans="1:2" x14ac:dyDescent="0.25">
      <c r="A114" s="59"/>
      <c r="B114" s="59"/>
    </row>
    <row r="115" spans="1:2" x14ac:dyDescent="0.25">
      <c r="A115" s="59"/>
      <c r="B115" s="59"/>
    </row>
    <row r="116" spans="1:2" x14ac:dyDescent="0.25">
      <c r="A116" s="59"/>
      <c r="B116" s="59"/>
    </row>
    <row r="117" spans="1:2" x14ac:dyDescent="0.25">
      <c r="A117" s="59"/>
      <c r="B117" s="59"/>
    </row>
    <row r="118" spans="1:2" x14ac:dyDescent="0.25">
      <c r="A118" s="59"/>
      <c r="B118" s="59"/>
    </row>
    <row r="119" spans="1:2" x14ac:dyDescent="0.25">
      <c r="A119" s="59"/>
      <c r="B119" s="59"/>
    </row>
    <row r="120" spans="1:2" x14ac:dyDescent="0.25">
      <c r="A120" s="59"/>
      <c r="B120" s="59"/>
    </row>
    <row r="121" spans="1:2" x14ac:dyDescent="0.25">
      <c r="A121" s="59"/>
      <c r="B121" s="59"/>
    </row>
    <row r="122" spans="1:2" x14ac:dyDescent="0.25">
      <c r="A122" s="59"/>
      <c r="B122" s="59"/>
    </row>
    <row r="123" spans="1:2" x14ac:dyDescent="0.25">
      <c r="A123" s="59"/>
      <c r="B123" s="59"/>
    </row>
    <row r="124" spans="1:2" x14ac:dyDescent="0.25">
      <c r="A124" s="59"/>
      <c r="B124" s="59"/>
    </row>
    <row r="125" spans="1:2" x14ac:dyDescent="0.25">
      <c r="A125" s="59"/>
      <c r="B125" s="59"/>
    </row>
    <row r="126" spans="1:2" x14ac:dyDescent="0.25">
      <c r="A126" s="59"/>
      <c r="B126" s="59"/>
    </row>
    <row r="127" spans="1:2" x14ac:dyDescent="0.25">
      <c r="A127" s="59"/>
      <c r="B127" s="59"/>
    </row>
    <row r="128" spans="1:2" x14ac:dyDescent="0.25">
      <c r="A128" s="59"/>
      <c r="B128" s="59"/>
    </row>
    <row r="129" spans="1:2" x14ac:dyDescent="0.25">
      <c r="A129" s="59"/>
      <c r="B129" s="59"/>
    </row>
    <row r="130" spans="1:2" x14ac:dyDescent="0.25">
      <c r="A130" s="59"/>
      <c r="B130" s="59"/>
    </row>
    <row r="131" spans="1:2" x14ac:dyDescent="0.25">
      <c r="A131" s="59"/>
      <c r="B131" s="59"/>
    </row>
    <row r="132" spans="1:2" x14ac:dyDescent="0.25">
      <c r="A132" s="59"/>
      <c r="B132" s="59"/>
    </row>
    <row r="133" spans="1:2" x14ac:dyDescent="0.25">
      <c r="A133" s="59"/>
      <c r="B133" s="59"/>
    </row>
    <row r="134" spans="1:2" x14ac:dyDescent="0.25">
      <c r="A134" s="59"/>
      <c r="B134" s="59"/>
    </row>
    <row r="135" spans="1:2" x14ac:dyDescent="0.25">
      <c r="A135" s="59"/>
      <c r="B135" s="59"/>
    </row>
    <row r="136" spans="1:2" x14ac:dyDescent="0.25">
      <c r="A136" s="59"/>
      <c r="B136" s="59"/>
    </row>
    <row r="137" spans="1:2" x14ac:dyDescent="0.25">
      <c r="A137" s="59"/>
      <c r="B137" s="59"/>
    </row>
    <row r="138" spans="1:2" x14ac:dyDescent="0.25">
      <c r="A138" s="59"/>
      <c r="B138" s="59"/>
    </row>
  </sheetData>
  <mergeCells count="262">
    <mergeCell ref="I9:I10"/>
    <mergeCell ref="G17:H17"/>
    <mergeCell ref="W5:W6"/>
    <mergeCell ref="K16:K17"/>
    <mergeCell ref="L16:L17"/>
    <mergeCell ref="W7:W8"/>
    <mergeCell ref="A69:A73"/>
    <mergeCell ref="B69:B73"/>
    <mergeCell ref="E42:E45"/>
    <mergeCell ref="A16:A54"/>
    <mergeCell ref="D42:D54"/>
    <mergeCell ref="F42:F53"/>
    <mergeCell ref="G42:H42"/>
    <mergeCell ref="G43:H43"/>
    <mergeCell ref="G44:H44"/>
    <mergeCell ref="G45:H45"/>
    <mergeCell ref="G46:H46"/>
    <mergeCell ref="D69:D73"/>
    <mergeCell ref="E69:E73"/>
    <mergeCell ref="D55:D61"/>
    <mergeCell ref="D62:D68"/>
    <mergeCell ref="C55:C61"/>
    <mergeCell ref="E40:E41"/>
    <mergeCell ref="C40:C41"/>
    <mergeCell ref="C42:C54"/>
    <mergeCell ref="Z40:Z41"/>
    <mergeCell ref="Z55:Z67"/>
    <mergeCell ref="Y55:Y67"/>
    <mergeCell ref="Y69:Y73"/>
    <mergeCell ref="Y74:Y79"/>
    <mergeCell ref="H31:H33"/>
    <mergeCell ref="G48:H48"/>
    <mergeCell ref="V3:W3"/>
    <mergeCell ref="G14:H14"/>
    <mergeCell ref="G15:H15"/>
    <mergeCell ref="G13:H13"/>
    <mergeCell ref="S5:S6"/>
    <mergeCell ref="T5:T6"/>
    <mergeCell ref="U5:U6"/>
    <mergeCell ref="U7:U8"/>
    <mergeCell ref="G10:H10"/>
    <mergeCell ref="J9:J10"/>
    <mergeCell ref="K9:K10"/>
    <mergeCell ref="G12:H12"/>
    <mergeCell ref="Q5:Q6"/>
    <mergeCell ref="L18:L19"/>
    <mergeCell ref="J20:J21"/>
    <mergeCell ref="K20:K21"/>
    <mergeCell ref="L20:L21"/>
    <mergeCell ref="Z69:Z73"/>
    <mergeCell ref="D74:D79"/>
    <mergeCell ref="E74:E79"/>
    <mergeCell ref="D80:D83"/>
    <mergeCell ref="E80:E83"/>
    <mergeCell ref="X84:X86"/>
    <mergeCell ref="Z84:Z86"/>
    <mergeCell ref="X74:X79"/>
    <mergeCell ref="Z74:Z79"/>
    <mergeCell ref="X80:X83"/>
    <mergeCell ref="Z80:Z83"/>
    <mergeCell ref="Y80:Y83"/>
    <mergeCell ref="Y84:Y86"/>
    <mergeCell ref="X36:X37"/>
    <mergeCell ref="X38:X39"/>
    <mergeCell ref="K24:K25"/>
    <mergeCell ref="C84:C86"/>
    <mergeCell ref="F74:F76"/>
    <mergeCell ref="F55:F60"/>
    <mergeCell ref="F62:F67"/>
    <mergeCell ref="F80:F82"/>
    <mergeCell ref="G80:H80"/>
    <mergeCell ref="X69:X73"/>
    <mergeCell ref="X40:X41"/>
    <mergeCell ref="G24:H24"/>
    <mergeCell ref="D28:D33"/>
    <mergeCell ref="D34:D35"/>
    <mergeCell ref="Z5:Z6"/>
    <mergeCell ref="X7:X8"/>
    <mergeCell ref="Z7:Z8"/>
    <mergeCell ref="T9:T10"/>
    <mergeCell ref="Y7:Y8"/>
    <mergeCell ref="Y9:Y10"/>
    <mergeCell ref="Y26:Y27"/>
    <mergeCell ref="Y28:Y33"/>
    <mergeCell ref="Y34:Y35"/>
    <mergeCell ref="Z9:Z10"/>
    <mergeCell ref="X26:X27"/>
    <mergeCell ref="Z22:Z23"/>
    <mergeCell ref="X9:X10"/>
    <mergeCell ref="U9:U10"/>
    <mergeCell ref="X22:X23"/>
    <mergeCell ref="X16:X17"/>
    <mergeCell ref="Z26:Z27"/>
    <mergeCell ref="X28:X33"/>
    <mergeCell ref="Z28:Z33"/>
    <mergeCell ref="X34:X35"/>
    <mergeCell ref="Z34:Z35"/>
    <mergeCell ref="E20:E21"/>
    <mergeCell ref="G68:H68"/>
    <mergeCell ref="C62:C68"/>
    <mergeCell ref="B55:B68"/>
    <mergeCell ref="E55:E67"/>
    <mergeCell ref="G58:H58"/>
    <mergeCell ref="G59:H59"/>
    <mergeCell ref="G60:H60"/>
    <mergeCell ref="G61:H61"/>
    <mergeCell ref="G25:H25"/>
    <mergeCell ref="G36:H36"/>
    <mergeCell ref="G37:H37"/>
    <mergeCell ref="G38:H38"/>
    <mergeCell ref="G39:H39"/>
    <mergeCell ref="G55:H55"/>
    <mergeCell ref="G56:H56"/>
    <mergeCell ref="G57:H57"/>
    <mergeCell ref="G40:H40"/>
    <mergeCell ref="G41:H41"/>
    <mergeCell ref="G47:H47"/>
    <mergeCell ref="B42:B54"/>
    <mergeCell ref="A3:A4"/>
    <mergeCell ref="A11:A15"/>
    <mergeCell ref="A55:A68"/>
    <mergeCell ref="A74:A83"/>
    <mergeCell ref="F69:F72"/>
    <mergeCell ref="G69:H69"/>
    <mergeCell ref="G70:H70"/>
    <mergeCell ref="G71:H71"/>
    <mergeCell ref="G72:H72"/>
    <mergeCell ref="G73:H73"/>
    <mergeCell ref="F77:F79"/>
    <mergeCell ref="H77:H79"/>
    <mergeCell ref="C5:C6"/>
    <mergeCell ref="B5:B8"/>
    <mergeCell ref="D5:D6"/>
    <mergeCell ref="D40:D41"/>
    <mergeCell ref="G3:H4"/>
    <mergeCell ref="G5:H5"/>
    <mergeCell ref="G6:H6"/>
    <mergeCell ref="G9:H9"/>
    <mergeCell ref="G7:H7"/>
    <mergeCell ref="G8:H8"/>
    <mergeCell ref="G11:H11"/>
    <mergeCell ref="G35:H35"/>
    <mergeCell ref="A5:A10"/>
    <mergeCell ref="G84:H84"/>
    <mergeCell ref="F84:F86"/>
    <mergeCell ref="G85:H85"/>
    <mergeCell ref="G86:H86"/>
    <mergeCell ref="G34:H34"/>
    <mergeCell ref="D26:D27"/>
    <mergeCell ref="E26:E27"/>
    <mergeCell ref="F28:F30"/>
    <mergeCell ref="H28:H30"/>
    <mergeCell ref="C16:C17"/>
    <mergeCell ref="D16:D17"/>
    <mergeCell ref="E16:E17"/>
    <mergeCell ref="C20:C21"/>
    <mergeCell ref="D20:D21"/>
    <mergeCell ref="G27:H27"/>
    <mergeCell ref="G16:H16"/>
    <mergeCell ref="C22:C23"/>
    <mergeCell ref="D22:D23"/>
    <mergeCell ref="E22:E23"/>
    <mergeCell ref="G21:H21"/>
    <mergeCell ref="G22:H22"/>
    <mergeCell ref="G23:H23"/>
    <mergeCell ref="D9:D10"/>
    <mergeCell ref="Z3:Z4"/>
    <mergeCell ref="A1:I1"/>
    <mergeCell ref="Y3:Y4"/>
    <mergeCell ref="I5:I6"/>
    <mergeCell ref="J3:K3"/>
    <mergeCell ref="L3:M3"/>
    <mergeCell ref="N3:O3"/>
    <mergeCell ref="P3:Q3"/>
    <mergeCell ref="R3:S3"/>
    <mergeCell ref="T3:U3"/>
    <mergeCell ref="X3:X4"/>
    <mergeCell ref="Y5:Y6"/>
    <mergeCell ref="I3:I4"/>
    <mergeCell ref="E5:E6"/>
    <mergeCell ref="X5:X6"/>
    <mergeCell ref="J5:J6"/>
    <mergeCell ref="N5:N6"/>
    <mergeCell ref="R5:R6"/>
    <mergeCell ref="K5:K6"/>
    <mergeCell ref="L5:L6"/>
    <mergeCell ref="M5:M6"/>
    <mergeCell ref="O5:O6"/>
    <mergeCell ref="P5:P6"/>
    <mergeCell ref="F3:F4"/>
    <mergeCell ref="E18:E19"/>
    <mergeCell ref="X18:X19"/>
    <mergeCell ref="K18:K19"/>
    <mergeCell ref="G81:H81"/>
    <mergeCell ref="G82:H82"/>
    <mergeCell ref="G83:H83"/>
    <mergeCell ref="H74:H76"/>
    <mergeCell ref="G26:H26"/>
    <mergeCell ref="G20:H20"/>
    <mergeCell ref="L22:L23"/>
    <mergeCell ref="G49:H49"/>
    <mergeCell ref="G50:H50"/>
    <mergeCell ref="G51:H51"/>
    <mergeCell ref="G52:H52"/>
    <mergeCell ref="G53:H53"/>
    <mergeCell ref="G54:H54"/>
    <mergeCell ref="E28:E33"/>
    <mergeCell ref="G18:H18"/>
    <mergeCell ref="G19:H19"/>
    <mergeCell ref="J24:J25"/>
    <mergeCell ref="L24:L25"/>
    <mergeCell ref="E34:E35"/>
    <mergeCell ref="X20:X21"/>
    <mergeCell ref="X24:X25"/>
    <mergeCell ref="A90:A99"/>
    <mergeCell ref="B87:B89"/>
    <mergeCell ref="G87:H87"/>
    <mergeCell ref="G88:H88"/>
    <mergeCell ref="G89:H89"/>
    <mergeCell ref="A87:A89"/>
    <mergeCell ref="F31:F33"/>
    <mergeCell ref="C26:C27"/>
    <mergeCell ref="C28:C33"/>
    <mergeCell ref="C34:C35"/>
    <mergeCell ref="C74:C79"/>
    <mergeCell ref="C80:C83"/>
    <mergeCell ref="C69:C73"/>
    <mergeCell ref="G62:H62"/>
    <mergeCell ref="G63:H63"/>
    <mergeCell ref="G64:H64"/>
    <mergeCell ref="G65:H65"/>
    <mergeCell ref="G66:H66"/>
    <mergeCell ref="G67:H67"/>
    <mergeCell ref="A84:A86"/>
    <mergeCell ref="B84:B86"/>
    <mergeCell ref="D84:D86"/>
    <mergeCell ref="E84:E86"/>
    <mergeCell ref="B74:B83"/>
    <mergeCell ref="E3:E4"/>
    <mergeCell ref="D3:D4"/>
    <mergeCell ref="B3:B4"/>
    <mergeCell ref="C3:C4"/>
    <mergeCell ref="C36:C37"/>
    <mergeCell ref="C38:C39"/>
    <mergeCell ref="B16:B35"/>
    <mergeCell ref="D36:D37"/>
    <mergeCell ref="E36:E37"/>
    <mergeCell ref="D38:D39"/>
    <mergeCell ref="E38:E39"/>
    <mergeCell ref="B36:B41"/>
    <mergeCell ref="C24:C25"/>
    <mergeCell ref="D24:D25"/>
    <mergeCell ref="E24:E25"/>
    <mergeCell ref="C18:C19"/>
    <mergeCell ref="D18:D19"/>
    <mergeCell ref="D7:D8"/>
    <mergeCell ref="E7:E8"/>
    <mergeCell ref="C7:C8"/>
    <mergeCell ref="B11:B15"/>
    <mergeCell ref="B9:B10"/>
    <mergeCell ref="C9:C10"/>
    <mergeCell ref="E9:E10"/>
  </mergeCells>
  <phoneticPr fontId="2" type="noConversion"/>
  <conditionalFormatting sqref="J5:K5 J6 N5:N6 R5:R6 X5:X8 J7:T8 J11:V11 J9 L9:T10 X11:X12 J14:V39 X40:X89 X14:X24 X26:X36 J40:U41 J42:V89 J12:U12">
    <cfRule type="cellIs" dxfId="18" priority="20" operator="greaterThan">
      <formula>0</formula>
    </cfRule>
  </conditionalFormatting>
  <conditionalFormatting sqref="L5:M5">
    <cfRule type="cellIs" dxfId="17" priority="19" operator="greaterThan">
      <formula>0</formula>
    </cfRule>
  </conditionalFormatting>
  <conditionalFormatting sqref="O5:Q5">
    <cfRule type="cellIs" dxfId="16" priority="18" operator="greaterThan">
      <formula>0</formula>
    </cfRule>
  </conditionalFormatting>
  <conditionalFormatting sqref="S5:W5">
    <cfRule type="cellIs" dxfId="15" priority="17" operator="greaterThan">
      <formula>0</formula>
    </cfRule>
  </conditionalFormatting>
  <conditionalFormatting sqref="U7 W7">
    <cfRule type="cellIs" dxfId="14" priority="16" operator="greaterThan">
      <formula>0</formula>
    </cfRule>
  </conditionalFormatting>
  <conditionalFormatting sqref="X9:X10">
    <cfRule type="cellIs" dxfId="13" priority="15" operator="greaterThan">
      <formula>0</formula>
    </cfRule>
  </conditionalFormatting>
  <conditionalFormatting sqref="U9:W9">
    <cfRule type="cellIs" dxfId="12" priority="14" operator="greaterThan">
      <formula>0</formula>
    </cfRule>
  </conditionalFormatting>
  <conditionalFormatting sqref="X38">
    <cfRule type="cellIs" dxfId="11" priority="13" operator="greaterThan">
      <formula>0</formula>
    </cfRule>
  </conditionalFormatting>
  <conditionalFormatting sqref="J13:V13 X13">
    <cfRule type="cellIs" dxfId="10" priority="11" operator="greaterThan">
      <formula>0</formula>
    </cfRule>
  </conditionalFormatting>
  <conditionalFormatting sqref="K9">
    <cfRule type="cellIs" dxfId="9" priority="10" operator="greaterThan">
      <formula>0</formula>
    </cfRule>
  </conditionalFormatting>
  <conditionalFormatting sqref="V7">
    <cfRule type="cellIs" dxfId="8" priority="9" operator="greaterThan">
      <formula>0</formula>
    </cfRule>
  </conditionalFormatting>
  <conditionalFormatting sqref="W11:W89">
    <cfRule type="cellIs" dxfId="7" priority="8" operator="greaterThan">
      <formula>0</formula>
    </cfRule>
  </conditionalFormatting>
  <conditionalFormatting sqref="V6">
    <cfRule type="cellIs" dxfId="6" priority="7" operator="greaterThan">
      <formula>0</formula>
    </cfRule>
  </conditionalFormatting>
  <conditionalFormatting sqref="V41">
    <cfRule type="cellIs" dxfId="5" priority="6" operator="greaterThan">
      <formula>0</formula>
    </cfRule>
  </conditionalFormatting>
  <conditionalFormatting sqref="V40">
    <cfRule type="cellIs" dxfId="4" priority="5" operator="greaterThan">
      <formula>0</formula>
    </cfRule>
  </conditionalFormatting>
  <conditionalFormatting sqref="V10">
    <cfRule type="cellIs" dxfId="3" priority="4" operator="greaterThan">
      <formula>0</formula>
    </cfRule>
  </conditionalFormatting>
  <conditionalFormatting sqref="W10">
    <cfRule type="cellIs" dxfId="2" priority="3" operator="greaterThan">
      <formula>0</formula>
    </cfRule>
  </conditionalFormatting>
  <conditionalFormatting sqref="V8">
    <cfRule type="cellIs" dxfId="1" priority="2" operator="greaterThan">
      <formula>0</formula>
    </cfRule>
  </conditionalFormatting>
  <conditionalFormatting sqref="V12">
    <cfRule type="cellIs" dxfId="0" priority="1" operator="greaterThan">
      <formula>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95B3E-890B-4099-AD06-1F4FAD49C5EA}">
  <sheetPr>
    <tabColor rgb="FF92D050"/>
  </sheetPr>
  <dimension ref="B2:F14"/>
  <sheetViews>
    <sheetView zoomScale="198" workbookViewId="0">
      <selection activeCell="D11" activeCellId="1" sqref="D3 D11"/>
    </sheetView>
  </sheetViews>
  <sheetFormatPr baseColWidth="10" defaultRowHeight="15" x14ac:dyDescent="0.25"/>
  <cols>
    <col min="2" max="2" width="21.7109375" customWidth="1"/>
    <col min="3" max="3" width="18.28515625" customWidth="1"/>
    <col min="4" max="4" width="12.28515625" customWidth="1"/>
  </cols>
  <sheetData>
    <row r="2" spans="2:6" x14ac:dyDescent="0.25">
      <c r="B2" s="39" t="s">
        <v>292</v>
      </c>
      <c r="C2" s="39" t="s">
        <v>466</v>
      </c>
      <c r="D2" s="39" t="s">
        <v>293</v>
      </c>
      <c r="E2" s="39" t="s">
        <v>294</v>
      </c>
      <c r="F2" s="12"/>
    </row>
    <row r="3" spans="2:6" x14ac:dyDescent="0.25">
      <c r="B3" s="33" t="s">
        <v>295</v>
      </c>
      <c r="C3" s="33">
        <v>284508</v>
      </c>
      <c r="D3" s="33">
        <f>SUM(D4:D10)</f>
        <v>1701853</v>
      </c>
      <c r="E3" s="33">
        <f>+D3/C3</f>
        <v>5.9817404080025867</v>
      </c>
      <c r="F3" s="12"/>
    </row>
    <row r="4" spans="2:6" x14ac:dyDescent="0.25">
      <c r="B4" s="33" t="s">
        <v>296</v>
      </c>
      <c r="C4" s="117">
        <v>57492.482750938718</v>
      </c>
      <c r="D4" s="33">
        <v>374934</v>
      </c>
      <c r="E4" s="33">
        <f t="shared" ref="E4:E12" si="0">+D4/C4</f>
        <v>6.5214438837898019</v>
      </c>
      <c r="F4" s="12"/>
    </row>
    <row r="5" spans="2:6" x14ac:dyDescent="0.25">
      <c r="B5" s="33" t="s">
        <v>297</v>
      </c>
      <c r="C5" s="117">
        <v>49263.060354646885</v>
      </c>
      <c r="D5" s="33">
        <v>321202</v>
      </c>
      <c r="E5" s="33">
        <f t="shared" si="0"/>
        <v>6.5201389781238319</v>
      </c>
      <c r="F5" s="12"/>
    </row>
    <row r="6" spans="2:6" x14ac:dyDescent="0.25">
      <c r="B6" s="33" t="s">
        <v>298</v>
      </c>
      <c r="C6" s="117">
        <v>31491.597132642244</v>
      </c>
      <c r="D6" s="33">
        <v>72296</v>
      </c>
      <c r="E6" s="33">
        <f t="shared" si="0"/>
        <v>2.2957235130212696</v>
      </c>
      <c r="F6" s="12"/>
    </row>
    <row r="7" spans="2:6" x14ac:dyDescent="0.25">
      <c r="B7" s="33" t="s">
        <v>299</v>
      </c>
      <c r="C7" s="117">
        <v>18430.839302204418</v>
      </c>
      <c r="D7" s="33">
        <v>31522</v>
      </c>
      <c r="E7" s="33">
        <f t="shared" si="0"/>
        <v>1.7102856513012847</v>
      </c>
      <c r="F7" s="12"/>
    </row>
    <row r="8" spans="2:6" x14ac:dyDescent="0.25">
      <c r="B8" s="33" t="s">
        <v>300</v>
      </c>
      <c r="C8" s="117">
        <v>43643.540489750456</v>
      </c>
      <c r="D8" s="33">
        <v>264656</v>
      </c>
      <c r="E8" s="33">
        <f t="shared" si="0"/>
        <v>6.0640359840227358</v>
      </c>
      <c r="F8" s="12"/>
    </row>
    <row r="9" spans="2:6" x14ac:dyDescent="0.25">
      <c r="B9" s="33" t="s">
        <v>301</v>
      </c>
      <c r="C9" s="117">
        <v>19110.661152332872</v>
      </c>
      <c r="D9" s="33">
        <v>121186</v>
      </c>
      <c r="E9" s="33">
        <f t="shared" si="0"/>
        <v>6.3412772082564297</v>
      </c>
      <c r="F9" s="12"/>
    </row>
    <row r="10" spans="2:6" x14ac:dyDescent="0.25">
      <c r="B10" s="33" t="s">
        <v>302</v>
      </c>
      <c r="C10" s="117">
        <v>65075.818817484418</v>
      </c>
      <c r="D10" s="33">
        <v>516057</v>
      </c>
      <c r="E10" s="33">
        <f t="shared" si="0"/>
        <v>7.9300884626187296</v>
      </c>
      <c r="F10" s="12"/>
    </row>
    <row r="11" spans="2:6" x14ac:dyDescent="0.25">
      <c r="B11" s="33" t="s">
        <v>480</v>
      </c>
      <c r="C11" s="117">
        <v>74298</v>
      </c>
      <c r="D11" s="33">
        <v>752357.44</v>
      </c>
      <c r="E11" s="33">
        <f t="shared" si="0"/>
        <v>10.126213895394223</v>
      </c>
      <c r="F11" s="12"/>
    </row>
    <row r="12" spans="2:6" x14ac:dyDescent="0.25">
      <c r="B12" s="125" t="s">
        <v>482</v>
      </c>
      <c r="C12" s="126">
        <f>+C3+C11</f>
        <v>358806</v>
      </c>
      <c r="D12" s="126">
        <f>+D3+D11</f>
        <v>2454210.44</v>
      </c>
      <c r="E12" s="33">
        <f t="shared" si="0"/>
        <v>6.8399370133163879</v>
      </c>
      <c r="F12" s="12"/>
    </row>
    <row r="13" spans="2:6" x14ac:dyDescent="0.25">
      <c r="B13" s="226" t="s">
        <v>481</v>
      </c>
      <c r="C13" s="227"/>
      <c r="D13" s="227"/>
      <c r="E13" s="228"/>
    </row>
    <row r="14" spans="2:6" ht="33.75" customHeight="1" x14ac:dyDescent="0.25">
      <c r="B14" s="229"/>
      <c r="C14" s="230"/>
      <c r="D14" s="230"/>
      <c r="E14" s="231"/>
    </row>
  </sheetData>
  <mergeCells count="1">
    <mergeCell ref="B13:E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F847F-F405-4EC0-99DF-D0F5B56CB4D0}">
  <sheetPr>
    <tabColor rgb="FF92D050"/>
  </sheetPr>
  <dimension ref="B3:O11"/>
  <sheetViews>
    <sheetView workbookViewId="0">
      <selection activeCell="B3" sqref="B3:J4"/>
    </sheetView>
  </sheetViews>
  <sheetFormatPr baseColWidth="10" defaultRowHeight="15" x14ac:dyDescent="0.25"/>
  <cols>
    <col min="2" max="2" width="16.5703125" customWidth="1"/>
  </cols>
  <sheetData>
    <row r="3" spans="2:15" ht="60" x14ac:dyDescent="0.25">
      <c r="B3" s="40" t="s">
        <v>305</v>
      </c>
      <c r="C3" s="40" t="s">
        <v>306</v>
      </c>
      <c r="D3" s="41" t="s">
        <v>307</v>
      </c>
      <c r="E3" s="42" t="s">
        <v>308</v>
      </c>
      <c r="F3" s="42" t="s">
        <v>309</v>
      </c>
      <c r="G3" s="43" t="s">
        <v>310</v>
      </c>
      <c r="H3" s="42" t="s">
        <v>311</v>
      </c>
      <c r="I3" s="42" t="s">
        <v>312</v>
      </c>
      <c r="J3" s="43" t="s">
        <v>313</v>
      </c>
      <c r="N3">
        <v>2018</v>
      </c>
    </row>
    <row r="4" spans="2:15" x14ac:dyDescent="0.25">
      <c r="B4" s="44" t="s">
        <v>314</v>
      </c>
      <c r="C4" s="44" t="s">
        <v>315</v>
      </c>
      <c r="D4" s="45">
        <v>3085</v>
      </c>
      <c r="E4" s="46">
        <v>1263</v>
      </c>
      <c r="F4" s="46">
        <v>7937</v>
      </c>
      <c r="G4" s="47">
        <v>103070</v>
      </c>
      <c r="H4" s="119">
        <f>+J4/N6</f>
        <v>136533.7697014955</v>
      </c>
      <c r="I4" s="119">
        <f>+J4/N5</f>
        <v>124735.68018318673</v>
      </c>
      <c r="J4" s="119">
        <v>358206</v>
      </c>
      <c r="N4" s="47">
        <v>302642</v>
      </c>
    </row>
    <row r="5" spans="2:15" x14ac:dyDescent="0.25">
      <c r="B5" s="44"/>
      <c r="C5" s="44"/>
      <c r="D5" s="46"/>
      <c r="E5" s="46"/>
      <c r="F5" s="46"/>
      <c r="G5" s="46"/>
      <c r="H5" s="46"/>
      <c r="I5" s="118"/>
      <c r="N5">
        <v>2.871720420924782</v>
      </c>
      <c r="O5" t="s">
        <v>475</v>
      </c>
    </row>
    <row r="6" spans="2:15" x14ac:dyDescent="0.25">
      <c r="B6" s="44"/>
      <c r="C6" s="44"/>
      <c r="D6" s="46"/>
      <c r="E6" s="46"/>
      <c r="F6" s="46"/>
      <c r="G6" s="46"/>
      <c r="H6" s="46"/>
      <c r="I6" s="46"/>
      <c r="J6" s="46"/>
      <c r="N6">
        <v>2.6235707164838975</v>
      </c>
      <c r="O6" t="s">
        <v>476</v>
      </c>
    </row>
    <row r="7" spans="2:15" x14ac:dyDescent="0.25">
      <c r="B7" s="50" t="s">
        <v>322</v>
      </c>
      <c r="C7" s="50" t="s">
        <v>321</v>
      </c>
    </row>
    <row r="8" spans="2:15" ht="30" x14ac:dyDescent="0.25">
      <c r="B8" s="49" t="s">
        <v>319</v>
      </c>
      <c r="C8" s="120">
        <f>+I4</f>
        <v>124735.68018318673</v>
      </c>
    </row>
    <row r="9" spans="2:15" ht="30" x14ac:dyDescent="0.25">
      <c r="B9" s="49" t="s">
        <v>320</v>
      </c>
      <c r="C9" s="120">
        <f>+H4</f>
        <v>136533.7697014955</v>
      </c>
    </row>
    <row r="10" spans="2:15" x14ac:dyDescent="0.25">
      <c r="B10" s="232" t="s">
        <v>318</v>
      </c>
      <c r="C10" s="233">
        <f>C8/C9</f>
        <v>0.91358848771184598</v>
      </c>
    </row>
    <row r="11" spans="2:15" x14ac:dyDescent="0.25">
      <c r="B11" s="232"/>
      <c r="C11" s="234"/>
    </row>
  </sheetData>
  <mergeCells count="2">
    <mergeCell ref="B10:B11"/>
    <mergeCell ref="C10:C11"/>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4766D-8B38-4BAA-9D77-83C4283D66F5}">
  <sheetPr>
    <tabColor rgb="FF92D050"/>
  </sheetPr>
  <dimension ref="A1:I18"/>
  <sheetViews>
    <sheetView workbookViewId="0">
      <selection activeCell="B5" sqref="B5"/>
    </sheetView>
  </sheetViews>
  <sheetFormatPr baseColWidth="10" defaultRowHeight="15" x14ac:dyDescent="0.25"/>
  <cols>
    <col min="1" max="1" width="22.85546875" customWidth="1"/>
    <col min="3" max="5" width="16.5703125" customWidth="1"/>
  </cols>
  <sheetData>
    <row r="1" spans="1:9" x14ac:dyDescent="0.25">
      <c r="A1" s="236" t="s">
        <v>467</v>
      </c>
      <c r="B1" s="237"/>
    </row>
    <row r="2" spans="1:9" ht="30" x14ac:dyDescent="0.25">
      <c r="A2" s="57" t="s">
        <v>340</v>
      </c>
      <c r="B2" s="56">
        <v>59140</v>
      </c>
    </row>
    <row r="3" spans="1:9" ht="30" x14ac:dyDescent="0.25">
      <c r="A3" s="57" t="s">
        <v>474</v>
      </c>
      <c r="B3" s="56">
        <f>+F17</f>
        <v>57821</v>
      </c>
      <c r="C3" s="58"/>
      <c r="D3" s="58"/>
      <c r="E3" s="58"/>
    </row>
    <row r="5" spans="1:9" x14ac:dyDescent="0.25">
      <c r="B5" t="s">
        <v>468</v>
      </c>
    </row>
    <row r="7" spans="1:9" ht="15" customHeight="1" x14ac:dyDescent="0.25">
      <c r="B7" s="235" t="s">
        <v>323</v>
      </c>
      <c r="C7" s="235"/>
      <c r="D7" s="235"/>
      <c r="E7" s="235"/>
      <c r="F7" s="235"/>
      <c r="G7" s="235"/>
      <c r="H7" s="235"/>
      <c r="I7" s="235"/>
    </row>
    <row r="8" spans="1:9" ht="25.9" customHeight="1" thickBot="1" x14ac:dyDescent="0.3">
      <c r="B8" s="112"/>
      <c r="C8" s="112" t="s">
        <v>469</v>
      </c>
      <c r="D8" s="112" t="s">
        <v>470</v>
      </c>
      <c r="E8" s="112" t="s">
        <v>471</v>
      </c>
      <c r="F8" s="112" t="s">
        <v>472</v>
      </c>
    </row>
    <row r="9" spans="1:9" ht="15.75" thickBot="1" x14ac:dyDescent="0.3">
      <c r="B9" s="104" t="s">
        <v>324</v>
      </c>
      <c r="C9" s="105">
        <v>26</v>
      </c>
      <c r="D9" s="106">
        <v>31</v>
      </c>
      <c r="E9" s="107">
        <v>488</v>
      </c>
      <c r="F9" s="106">
        <f>SUM(C9:E9)</f>
        <v>545</v>
      </c>
    </row>
    <row r="10" spans="1:9" ht="15.75" thickBot="1" x14ac:dyDescent="0.3">
      <c r="B10" s="104" t="s">
        <v>325</v>
      </c>
      <c r="C10" s="105">
        <v>22</v>
      </c>
      <c r="D10" s="106">
        <v>42</v>
      </c>
      <c r="E10" s="107">
        <v>647</v>
      </c>
      <c r="F10" s="106">
        <f t="shared" ref="F10:F16" si="0">SUM(C10:E10)</f>
        <v>711</v>
      </c>
    </row>
    <row r="11" spans="1:9" ht="15.75" thickBot="1" x14ac:dyDescent="0.3">
      <c r="B11" s="104" t="s">
        <v>326</v>
      </c>
      <c r="C11" s="106">
        <v>2719</v>
      </c>
      <c r="D11" s="106">
        <v>45</v>
      </c>
      <c r="E11" s="108">
        <v>945</v>
      </c>
      <c r="F11" s="106">
        <f t="shared" si="0"/>
        <v>3709</v>
      </c>
    </row>
    <row r="12" spans="1:9" ht="29.25" thickBot="1" x14ac:dyDescent="0.3">
      <c r="B12" s="104" t="s">
        <v>327</v>
      </c>
      <c r="C12" s="106">
        <v>17371</v>
      </c>
      <c r="D12" s="106">
        <v>80</v>
      </c>
      <c r="E12" s="108">
        <v>4418</v>
      </c>
      <c r="F12" s="106">
        <f t="shared" si="0"/>
        <v>21869</v>
      </c>
    </row>
    <row r="13" spans="1:9" ht="43.5" thickBot="1" x14ac:dyDescent="0.3">
      <c r="B13" s="109" t="s">
        <v>328</v>
      </c>
      <c r="C13" s="110">
        <v>15760</v>
      </c>
      <c r="D13" s="110">
        <v>41</v>
      </c>
      <c r="E13" s="111">
        <v>3189</v>
      </c>
      <c r="F13" s="106">
        <f t="shared" si="0"/>
        <v>18990</v>
      </c>
    </row>
    <row r="14" spans="1:9" ht="16.5" thickTop="1" thickBot="1" x14ac:dyDescent="0.3">
      <c r="B14" s="104" t="s">
        <v>329</v>
      </c>
      <c r="C14" s="106">
        <v>5477</v>
      </c>
      <c r="D14" s="106">
        <v>14</v>
      </c>
      <c r="E14" s="108">
        <v>1378</v>
      </c>
      <c r="F14" s="106">
        <f t="shared" si="0"/>
        <v>6869</v>
      </c>
    </row>
    <row r="15" spans="1:9" ht="15.75" thickBot="1" x14ac:dyDescent="0.3">
      <c r="B15" s="104" t="s">
        <v>330</v>
      </c>
      <c r="C15" s="106">
        <v>2929</v>
      </c>
      <c r="D15" s="106">
        <v>47</v>
      </c>
      <c r="E15" s="108">
        <v>1276</v>
      </c>
      <c r="F15" s="106">
        <f t="shared" si="0"/>
        <v>4252</v>
      </c>
    </row>
    <row r="16" spans="1:9" ht="43.5" thickBot="1" x14ac:dyDescent="0.3">
      <c r="B16" s="104" t="s">
        <v>331</v>
      </c>
      <c r="C16" s="106">
        <v>848</v>
      </c>
      <c r="D16" s="106">
        <v>0</v>
      </c>
      <c r="E16" s="108">
        <v>28</v>
      </c>
      <c r="F16" s="106">
        <f t="shared" si="0"/>
        <v>876</v>
      </c>
    </row>
    <row r="17" spans="2:6" ht="15.75" thickBot="1" x14ac:dyDescent="0.3">
      <c r="B17" s="104" t="s">
        <v>332</v>
      </c>
      <c r="C17" s="106">
        <f t="shared" ref="C17:E17" si="1">SUM(C9:C16)</f>
        <v>45152</v>
      </c>
      <c r="D17" s="106">
        <f t="shared" si="1"/>
        <v>300</v>
      </c>
      <c r="E17" s="106">
        <f t="shared" si="1"/>
        <v>12369</v>
      </c>
      <c r="F17" s="106">
        <f>SUM(F9:F16)</f>
        <v>57821</v>
      </c>
    </row>
    <row r="18" spans="2:6" x14ac:dyDescent="0.25">
      <c r="B18" s="51" t="s">
        <v>473</v>
      </c>
    </row>
  </sheetData>
  <mergeCells count="2">
    <mergeCell ref="B7:I7"/>
    <mergeCell ref="A1:B1"/>
  </mergeCells>
  <phoneticPr fontId="2"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B72A-9548-44F1-AF99-7EE5530B062B}">
  <sheetPr>
    <tabColor rgb="FF92D050"/>
  </sheetPr>
  <dimension ref="A1:J7"/>
  <sheetViews>
    <sheetView workbookViewId="0">
      <selection activeCell="C7" sqref="C7:D7"/>
    </sheetView>
  </sheetViews>
  <sheetFormatPr baseColWidth="10" defaultRowHeight="15" x14ac:dyDescent="0.25"/>
  <cols>
    <col min="1" max="1" width="19.140625" customWidth="1"/>
    <col min="2" max="2" width="36.5703125" customWidth="1"/>
    <col min="3" max="3" width="27.5703125" customWidth="1"/>
  </cols>
  <sheetData>
    <row r="1" spans="1:10" s="30" customFormat="1" ht="49.5" customHeight="1" x14ac:dyDescent="0.25">
      <c r="A1" s="243" t="s">
        <v>103</v>
      </c>
      <c r="B1" s="243" t="s">
        <v>496</v>
      </c>
      <c r="C1" s="243" t="s">
        <v>497</v>
      </c>
      <c r="H1" s="244" t="s">
        <v>498</v>
      </c>
      <c r="I1" s="30" t="s">
        <v>499</v>
      </c>
      <c r="J1" s="30" t="s">
        <v>500</v>
      </c>
    </row>
    <row r="2" spans="1:10" x14ac:dyDescent="0.25">
      <c r="A2" s="245" t="s">
        <v>501</v>
      </c>
      <c r="B2" s="245" t="s">
        <v>150</v>
      </c>
      <c r="C2" s="246" t="s">
        <v>213</v>
      </c>
      <c r="D2" s="246">
        <v>0</v>
      </c>
      <c r="H2" s="247">
        <v>50000</v>
      </c>
      <c r="I2" s="247">
        <v>50000</v>
      </c>
      <c r="J2">
        <f>+I2*0.001</f>
        <v>50</v>
      </c>
    </row>
    <row r="3" spans="1:10" x14ac:dyDescent="0.25">
      <c r="A3" s="245"/>
      <c r="B3" s="245"/>
      <c r="C3" s="246" t="s">
        <v>502</v>
      </c>
      <c r="D3" s="246">
        <v>0</v>
      </c>
    </row>
    <row r="4" spans="1:10" x14ac:dyDescent="0.25">
      <c r="A4" s="245"/>
      <c r="B4" s="245"/>
      <c r="C4" s="246" t="s">
        <v>214</v>
      </c>
      <c r="D4" s="246">
        <f>+J2</f>
        <v>50</v>
      </c>
    </row>
    <row r="5" spans="1:10" ht="25.5" x14ac:dyDescent="0.25">
      <c r="A5" s="245"/>
      <c r="B5" s="246" t="s">
        <v>151</v>
      </c>
      <c r="C5" s="246" t="s">
        <v>208</v>
      </c>
      <c r="D5" s="246">
        <v>819.02300000000002</v>
      </c>
    </row>
    <row r="7" spans="1:10" ht="38.25" x14ac:dyDescent="0.25">
      <c r="C7" s="248" t="s">
        <v>503</v>
      </c>
      <c r="D7" s="249">
        <f>+D4/D5</f>
        <v>6.1048346627628279E-2</v>
      </c>
    </row>
  </sheetData>
  <mergeCells count="2">
    <mergeCell ref="A2:A5"/>
    <mergeCell ref="B2:B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67FF4-E518-4CCD-BE46-6E797409B215}">
  <sheetPr>
    <tabColor rgb="FF92D050"/>
  </sheetPr>
  <dimension ref="B1:E60"/>
  <sheetViews>
    <sheetView workbookViewId="0">
      <selection activeCell="C2" sqref="C2"/>
    </sheetView>
  </sheetViews>
  <sheetFormatPr baseColWidth="10" defaultRowHeight="15" x14ac:dyDescent="0.25"/>
  <cols>
    <col min="2" max="2" width="7.7109375" customWidth="1"/>
    <col min="3" max="3" width="16" customWidth="1"/>
    <col min="4" max="4" width="33.5703125" bestFit="1" customWidth="1"/>
  </cols>
  <sheetData>
    <row r="1" spans="2:5" x14ac:dyDescent="0.25">
      <c r="C1" s="238" t="s">
        <v>478</v>
      </c>
      <c r="D1" s="238"/>
    </row>
    <row r="3" spans="2:5" x14ac:dyDescent="0.25">
      <c r="B3" s="38" t="s">
        <v>192</v>
      </c>
      <c r="C3" s="38" t="s">
        <v>282</v>
      </c>
      <c r="D3" s="38" t="s">
        <v>281</v>
      </c>
      <c r="E3" s="38" t="s">
        <v>17</v>
      </c>
    </row>
    <row r="4" spans="2:5" x14ac:dyDescent="0.25">
      <c r="B4" s="122">
        <v>1</v>
      </c>
      <c r="C4" s="122" t="s">
        <v>255</v>
      </c>
      <c r="D4" s="122" t="s">
        <v>256</v>
      </c>
      <c r="E4" s="122">
        <v>1.010043</v>
      </c>
    </row>
    <row r="5" spans="2:5" x14ac:dyDescent="0.25">
      <c r="B5" s="122">
        <v>2</v>
      </c>
      <c r="C5" s="122" t="s">
        <v>255</v>
      </c>
      <c r="D5" s="122" t="s">
        <v>256</v>
      </c>
      <c r="E5" s="122">
        <v>6.000413</v>
      </c>
    </row>
    <row r="6" spans="2:5" x14ac:dyDescent="0.25">
      <c r="B6" s="122">
        <v>3</v>
      </c>
      <c r="C6" s="122" t="s">
        <v>255</v>
      </c>
      <c r="D6" s="122" t="s">
        <v>256</v>
      </c>
      <c r="E6" s="122">
        <v>1.039326</v>
      </c>
    </row>
    <row r="7" spans="2:5" x14ac:dyDescent="0.25">
      <c r="B7" s="122">
        <v>4</v>
      </c>
      <c r="C7" s="122" t="s">
        <v>255</v>
      </c>
      <c r="D7" s="122" t="s">
        <v>256</v>
      </c>
      <c r="E7" s="122">
        <v>0.18048700000000001</v>
      </c>
    </row>
    <row r="8" spans="2:5" x14ac:dyDescent="0.25">
      <c r="B8" s="122">
        <v>5</v>
      </c>
      <c r="C8" s="122" t="s">
        <v>255</v>
      </c>
      <c r="D8" s="122" t="s">
        <v>256</v>
      </c>
      <c r="E8" s="122">
        <v>1.8180000000000001</v>
      </c>
    </row>
    <row r="9" spans="2:5" x14ac:dyDescent="0.25">
      <c r="B9" s="122">
        <v>6</v>
      </c>
      <c r="C9" s="122" t="s">
        <v>255</v>
      </c>
      <c r="D9" s="122" t="s">
        <v>256</v>
      </c>
      <c r="E9" s="122">
        <v>2.1481180000000002</v>
      </c>
    </row>
    <row r="10" spans="2:5" x14ac:dyDescent="0.25">
      <c r="B10" s="122">
        <v>7</v>
      </c>
      <c r="C10" s="122" t="s">
        <v>255</v>
      </c>
      <c r="D10" s="122" t="s">
        <v>256</v>
      </c>
      <c r="E10" s="122">
        <v>3.7179530000000001</v>
      </c>
    </row>
    <row r="11" spans="2:5" x14ac:dyDescent="0.25">
      <c r="B11" s="122">
        <v>8</v>
      </c>
      <c r="C11" s="122" t="s">
        <v>255</v>
      </c>
      <c r="D11" s="122" t="s">
        <v>256</v>
      </c>
      <c r="E11" s="122">
        <v>6.1573999999999997E-2</v>
      </c>
    </row>
    <row r="12" spans="2:5" x14ac:dyDescent="0.25">
      <c r="B12" s="122">
        <v>9</v>
      </c>
      <c r="C12" s="122" t="s">
        <v>255</v>
      </c>
      <c r="D12" s="122" t="s">
        <v>256</v>
      </c>
      <c r="E12" s="122">
        <v>1.1242829999999999</v>
      </c>
    </row>
    <row r="13" spans="2:5" x14ac:dyDescent="0.25">
      <c r="B13" s="122">
        <v>10</v>
      </c>
      <c r="C13" s="122" t="s">
        <v>255</v>
      </c>
      <c r="D13" s="122" t="s">
        <v>257</v>
      </c>
      <c r="E13" s="122">
        <v>1.521782</v>
      </c>
    </row>
    <row r="14" spans="2:5" x14ac:dyDescent="0.25">
      <c r="B14" s="122">
        <v>11</v>
      </c>
      <c r="C14" s="122" t="s">
        <v>255</v>
      </c>
      <c r="D14" s="122" t="s">
        <v>257</v>
      </c>
      <c r="E14" s="122">
        <v>8.1203999999999998E-2</v>
      </c>
    </row>
    <row r="15" spans="2:5" x14ac:dyDescent="0.25">
      <c r="B15" s="122">
        <v>12</v>
      </c>
      <c r="C15" s="122" t="s">
        <v>255</v>
      </c>
      <c r="D15" s="122" t="s">
        <v>258</v>
      </c>
      <c r="E15" s="122">
        <v>1.0006269999999999</v>
      </c>
    </row>
    <row r="16" spans="2:5" x14ac:dyDescent="0.25">
      <c r="B16" s="122">
        <v>13</v>
      </c>
      <c r="C16" s="122" t="s">
        <v>255</v>
      </c>
      <c r="D16" s="122" t="s">
        <v>259</v>
      </c>
      <c r="E16" s="122">
        <v>4.7544890000000004</v>
      </c>
    </row>
    <row r="17" spans="2:5" x14ac:dyDescent="0.25">
      <c r="B17" s="122">
        <v>14</v>
      </c>
      <c r="C17" s="122" t="s">
        <v>255</v>
      </c>
      <c r="D17" s="122" t="s">
        <v>260</v>
      </c>
      <c r="E17" s="122">
        <v>0.94112300000000004</v>
      </c>
    </row>
    <row r="18" spans="2:5" x14ac:dyDescent="0.25">
      <c r="B18" s="122">
        <v>15</v>
      </c>
      <c r="C18" s="122" t="s">
        <v>255</v>
      </c>
      <c r="D18" s="122" t="s">
        <v>261</v>
      </c>
      <c r="E18" s="122">
        <v>2.077032</v>
      </c>
    </row>
    <row r="19" spans="2:5" x14ac:dyDescent="0.25">
      <c r="B19" s="122">
        <v>16</v>
      </c>
      <c r="C19" s="122" t="s">
        <v>255</v>
      </c>
      <c r="D19" s="122" t="s">
        <v>261</v>
      </c>
      <c r="E19" s="122">
        <v>0.16594</v>
      </c>
    </row>
    <row r="20" spans="2:5" x14ac:dyDescent="0.25">
      <c r="B20" s="122">
        <v>17</v>
      </c>
      <c r="C20" s="122" t="s">
        <v>255</v>
      </c>
      <c r="D20" s="122" t="s">
        <v>262</v>
      </c>
      <c r="E20" s="122">
        <v>0.34057599999999999</v>
      </c>
    </row>
    <row r="21" spans="2:5" x14ac:dyDescent="0.25">
      <c r="B21" s="122">
        <v>18</v>
      </c>
      <c r="C21" s="122" t="s">
        <v>255</v>
      </c>
      <c r="D21" s="122" t="s">
        <v>263</v>
      </c>
      <c r="E21" s="122">
        <v>17.266013000000001</v>
      </c>
    </row>
    <row r="22" spans="2:5" x14ac:dyDescent="0.25">
      <c r="B22" s="122">
        <v>19</v>
      </c>
      <c r="C22" s="122" t="s">
        <v>255</v>
      </c>
      <c r="D22" s="122" t="s">
        <v>264</v>
      </c>
      <c r="E22" s="122">
        <v>0.49665700000000002</v>
      </c>
    </row>
    <row r="23" spans="2:5" x14ac:dyDescent="0.25">
      <c r="B23" s="122">
        <v>20</v>
      </c>
      <c r="C23" s="122" t="s">
        <v>255</v>
      </c>
      <c r="D23" s="122" t="s">
        <v>265</v>
      </c>
      <c r="E23" s="122">
        <v>8.0361960000000003</v>
      </c>
    </row>
    <row r="24" spans="2:5" x14ac:dyDescent="0.25">
      <c r="B24" s="122">
        <v>21</v>
      </c>
      <c r="C24" s="122" t="s">
        <v>255</v>
      </c>
      <c r="D24" s="122" t="s">
        <v>266</v>
      </c>
      <c r="E24" s="122">
        <v>4.7517480000000001</v>
      </c>
    </row>
    <row r="25" spans="2:5" x14ac:dyDescent="0.25">
      <c r="B25" s="122">
        <v>22</v>
      </c>
      <c r="C25" s="122" t="s">
        <v>255</v>
      </c>
      <c r="D25" s="122" t="s">
        <v>267</v>
      </c>
      <c r="E25" s="122">
        <v>2.1437339999999998</v>
      </c>
    </row>
    <row r="26" spans="2:5" x14ac:dyDescent="0.25">
      <c r="B26" s="122">
        <v>23</v>
      </c>
      <c r="C26" s="122" t="s">
        <v>255</v>
      </c>
      <c r="D26" s="122" t="s">
        <v>268</v>
      </c>
      <c r="E26" s="122">
        <v>1.604997</v>
      </c>
    </row>
    <row r="27" spans="2:5" x14ac:dyDescent="0.25">
      <c r="B27" s="122">
        <v>24</v>
      </c>
      <c r="C27" s="122" t="s">
        <v>255</v>
      </c>
      <c r="D27" s="122" t="s">
        <v>269</v>
      </c>
      <c r="E27" s="122">
        <v>3.5803950000000002</v>
      </c>
    </row>
    <row r="28" spans="2:5" x14ac:dyDescent="0.25">
      <c r="B28" s="122">
        <v>25</v>
      </c>
      <c r="C28" s="122" t="s">
        <v>255</v>
      </c>
      <c r="D28" s="122" t="s">
        <v>270</v>
      </c>
      <c r="E28" s="122">
        <v>1.96882</v>
      </c>
    </row>
    <row r="29" spans="2:5" x14ac:dyDescent="0.25">
      <c r="B29" s="122">
        <v>26</v>
      </c>
      <c r="C29" s="122" t="s">
        <v>255</v>
      </c>
      <c r="D29" s="122" t="s">
        <v>271</v>
      </c>
      <c r="E29" s="122">
        <v>3.72546</v>
      </c>
    </row>
    <row r="30" spans="2:5" x14ac:dyDescent="0.25">
      <c r="B30" s="122">
        <v>27</v>
      </c>
      <c r="C30" s="122" t="s">
        <v>255</v>
      </c>
      <c r="D30" s="122" t="s">
        <v>272</v>
      </c>
      <c r="E30" s="122">
        <v>10.359408999999999</v>
      </c>
    </row>
    <row r="31" spans="2:5" x14ac:dyDescent="0.25">
      <c r="B31" s="122">
        <v>28</v>
      </c>
      <c r="C31" s="122" t="s">
        <v>255</v>
      </c>
      <c r="D31" s="122" t="s">
        <v>273</v>
      </c>
      <c r="E31" s="122">
        <v>4.4058400000000004</v>
      </c>
    </row>
    <row r="32" spans="2:5" x14ac:dyDescent="0.25">
      <c r="B32" s="122">
        <v>29</v>
      </c>
      <c r="C32" s="122" t="s">
        <v>255</v>
      </c>
      <c r="D32" s="122" t="s">
        <v>273</v>
      </c>
      <c r="E32" s="122">
        <v>0.50294000000000005</v>
      </c>
    </row>
    <row r="33" spans="2:5" x14ac:dyDescent="0.25">
      <c r="B33" s="122">
        <v>30</v>
      </c>
      <c r="C33" s="122" t="s">
        <v>255</v>
      </c>
      <c r="D33" s="122" t="s">
        <v>274</v>
      </c>
      <c r="E33" s="122">
        <v>2.2725960000000001</v>
      </c>
    </row>
    <row r="34" spans="2:5" x14ac:dyDescent="0.25">
      <c r="B34" s="122">
        <v>31</v>
      </c>
      <c r="C34" s="122" t="s">
        <v>255</v>
      </c>
      <c r="D34" s="122" t="s">
        <v>275</v>
      </c>
      <c r="E34" s="122">
        <v>1.776105</v>
      </c>
    </row>
    <row r="35" spans="2:5" x14ac:dyDescent="0.25">
      <c r="B35" s="122">
        <v>32</v>
      </c>
      <c r="C35" s="122" t="s">
        <v>255</v>
      </c>
      <c r="D35" s="122" t="s">
        <v>275</v>
      </c>
      <c r="E35" s="122">
        <v>0.20066100000000001</v>
      </c>
    </row>
    <row r="36" spans="2:5" x14ac:dyDescent="0.25">
      <c r="B36" s="122">
        <v>33</v>
      </c>
      <c r="C36" s="122" t="s">
        <v>255</v>
      </c>
      <c r="D36" s="122" t="s">
        <v>275</v>
      </c>
      <c r="E36" s="122">
        <v>1.0179229999999999</v>
      </c>
    </row>
    <row r="37" spans="2:5" x14ac:dyDescent="0.25">
      <c r="B37" s="122">
        <v>34</v>
      </c>
      <c r="C37" s="122" t="s">
        <v>255</v>
      </c>
      <c r="D37" s="122" t="s">
        <v>275</v>
      </c>
      <c r="E37" s="122">
        <v>0.51562399999999997</v>
      </c>
    </row>
    <row r="38" spans="2:5" x14ac:dyDescent="0.25">
      <c r="B38" s="122">
        <v>35</v>
      </c>
      <c r="C38" s="122" t="s">
        <v>255</v>
      </c>
      <c r="D38" s="122" t="s">
        <v>275</v>
      </c>
      <c r="E38" s="122">
        <v>0.120864</v>
      </c>
    </row>
    <row r="39" spans="2:5" x14ac:dyDescent="0.25">
      <c r="B39" s="122">
        <v>36</v>
      </c>
      <c r="C39" s="122" t="s">
        <v>255</v>
      </c>
      <c r="D39" s="122" t="s">
        <v>275</v>
      </c>
      <c r="E39" s="122">
        <v>0.41894100000000001</v>
      </c>
    </row>
    <row r="40" spans="2:5" x14ac:dyDescent="0.25">
      <c r="B40" s="122">
        <v>37</v>
      </c>
      <c r="C40" s="122" t="s">
        <v>255</v>
      </c>
      <c r="D40" s="122" t="s">
        <v>276</v>
      </c>
      <c r="E40" s="122">
        <v>43.507435999999998</v>
      </c>
    </row>
    <row r="41" spans="2:5" x14ac:dyDescent="0.25">
      <c r="B41" s="122">
        <v>38</v>
      </c>
      <c r="C41" s="122" t="s">
        <v>255</v>
      </c>
      <c r="D41" s="122" t="s">
        <v>277</v>
      </c>
      <c r="E41" s="122">
        <v>1.6343920000000001</v>
      </c>
    </row>
    <row r="42" spans="2:5" x14ac:dyDescent="0.25">
      <c r="B42" s="122">
        <v>39</v>
      </c>
      <c r="C42" s="122" t="s">
        <v>255</v>
      </c>
      <c r="D42" s="122" t="s">
        <v>278</v>
      </c>
      <c r="E42" s="122">
        <v>0.104333</v>
      </c>
    </row>
    <row r="43" spans="2:5" x14ac:dyDescent="0.25">
      <c r="B43" s="122">
        <v>40</v>
      </c>
      <c r="C43" s="122" t="s">
        <v>255</v>
      </c>
      <c r="D43" s="122" t="s">
        <v>278</v>
      </c>
      <c r="E43" s="122">
        <v>0.844329</v>
      </c>
    </row>
    <row r="44" spans="2:5" x14ac:dyDescent="0.25">
      <c r="B44" s="122">
        <v>41</v>
      </c>
      <c r="C44" s="122" t="s">
        <v>255</v>
      </c>
      <c r="D44" s="122" t="s">
        <v>278</v>
      </c>
      <c r="E44" s="122">
        <v>0.196713</v>
      </c>
    </row>
    <row r="45" spans="2:5" x14ac:dyDescent="0.25">
      <c r="B45" s="122">
        <v>42</v>
      </c>
      <c r="C45" s="122" t="s">
        <v>255</v>
      </c>
      <c r="D45" s="122" t="s">
        <v>279</v>
      </c>
      <c r="E45" s="122">
        <v>1.2943309999999999</v>
      </c>
    </row>
    <row r="46" spans="2:5" x14ac:dyDescent="0.25">
      <c r="B46" s="122">
        <v>43</v>
      </c>
      <c r="C46" s="122" t="s">
        <v>255</v>
      </c>
      <c r="D46" s="122" t="s">
        <v>279</v>
      </c>
      <c r="E46" s="122">
        <v>3.6489349999999998</v>
      </c>
    </row>
    <row r="47" spans="2:5" x14ac:dyDescent="0.25">
      <c r="B47" s="122">
        <v>44</v>
      </c>
      <c r="C47" s="122" t="s">
        <v>255</v>
      </c>
      <c r="D47" s="122" t="s">
        <v>279</v>
      </c>
      <c r="E47" s="122">
        <v>5.4910189999999997</v>
      </c>
    </row>
    <row r="48" spans="2:5" x14ac:dyDescent="0.25">
      <c r="B48" s="122">
        <v>45</v>
      </c>
      <c r="C48" s="122" t="s">
        <v>255</v>
      </c>
      <c r="D48" s="122" t="s">
        <v>280</v>
      </c>
      <c r="E48" s="122">
        <v>0.70126200000000005</v>
      </c>
    </row>
    <row r="50" spans="2:4" x14ac:dyDescent="0.25">
      <c r="B50" s="200" t="s">
        <v>253</v>
      </c>
      <c r="C50" s="200"/>
      <c r="D50" s="200"/>
    </row>
    <row r="52" spans="2:4" x14ac:dyDescent="0.25">
      <c r="B52" s="33" t="s">
        <v>192</v>
      </c>
      <c r="C52" s="33" t="s">
        <v>283</v>
      </c>
      <c r="D52" s="33" t="s">
        <v>284</v>
      </c>
    </row>
    <row r="53" spans="2:4" x14ac:dyDescent="0.25">
      <c r="B53" s="33">
        <v>1</v>
      </c>
      <c r="C53" s="33" t="s">
        <v>285</v>
      </c>
      <c r="D53" s="121">
        <v>1.2472620000000001</v>
      </c>
    </row>
    <row r="54" spans="2:4" x14ac:dyDescent="0.25">
      <c r="B54" s="33">
        <v>2</v>
      </c>
      <c r="C54" s="33" t="s">
        <v>286</v>
      </c>
      <c r="D54" s="121">
        <v>7.0786009999999999</v>
      </c>
    </row>
    <row r="55" spans="2:4" x14ac:dyDescent="0.25">
      <c r="B55" s="33">
        <v>3</v>
      </c>
      <c r="C55" s="33" t="s">
        <v>287</v>
      </c>
      <c r="D55" s="121">
        <v>21.920981999999999</v>
      </c>
    </row>
    <row r="56" spans="2:4" x14ac:dyDescent="0.25">
      <c r="B56" s="33">
        <v>4</v>
      </c>
      <c r="C56" s="33" t="s">
        <v>288</v>
      </c>
      <c r="D56" s="121">
        <v>6.0811929999999998</v>
      </c>
    </row>
    <row r="57" spans="2:4" x14ac:dyDescent="0.25">
      <c r="B57" s="33">
        <v>5</v>
      </c>
      <c r="C57" s="33" t="s">
        <v>289</v>
      </c>
      <c r="D57" s="121">
        <v>33.885420000000003</v>
      </c>
    </row>
    <row r="58" spans="2:4" x14ac:dyDescent="0.25">
      <c r="B58" s="33">
        <v>6</v>
      </c>
      <c r="C58" s="33" t="s">
        <v>290</v>
      </c>
      <c r="D58" s="121">
        <v>29.712757</v>
      </c>
    </row>
    <row r="60" spans="2:4" x14ac:dyDescent="0.25">
      <c r="B60" s="239" t="s">
        <v>477</v>
      </c>
      <c r="C60" s="239"/>
      <c r="D60" s="239"/>
    </row>
  </sheetData>
  <mergeCells count="3">
    <mergeCell ref="B50:D50"/>
    <mergeCell ref="C1:D1"/>
    <mergeCell ref="B60:D6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65CF5-0F43-4CD8-8CDD-B63B0FA22709}">
  <sheetPr>
    <tabColor rgb="FF92D050"/>
  </sheetPr>
  <dimension ref="B2:G23"/>
  <sheetViews>
    <sheetView workbookViewId="0">
      <selection activeCell="G20" sqref="G20:G21"/>
    </sheetView>
  </sheetViews>
  <sheetFormatPr baseColWidth="10" defaultRowHeight="15" x14ac:dyDescent="0.25"/>
  <cols>
    <col min="2" max="2" width="17" customWidth="1"/>
    <col min="3" max="3" width="48.85546875" bestFit="1" customWidth="1"/>
    <col min="4" max="4" width="13.28515625" customWidth="1"/>
    <col min="5" max="5" width="17.42578125" customWidth="1"/>
    <col min="6" max="6" width="13.140625" customWidth="1"/>
    <col min="7" max="7" width="13.28515625" customWidth="1"/>
  </cols>
  <sheetData>
    <row r="2" spans="2:7" ht="38.25" x14ac:dyDescent="0.25">
      <c r="B2" s="2" t="s">
        <v>59</v>
      </c>
      <c r="C2" s="10" t="s">
        <v>59</v>
      </c>
      <c r="D2" s="10" t="s">
        <v>95</v>
      </c>
      <c r="E2" s="11" t="s">
        <v>96</v>
      </c>
      <c r="F2" s="11" t="s">
        <v>97</v>
      </c>
      <c r="G2" s="10" t="s">
        <v>94</v>
      </c>
    </row>
    <row r="3" spans="2:7" x14ac:dyDescent="0.25">
      <c r="B3" s="13" t="s">
        <v>106</v>
      </c>
      <c r="C3" s="13" t="s">
        <v>67</v>
      </c>
      <c r="D3" s="14">
        <v>33138.449218000002</v>
      </c>
      <c r="E3" s="13" t="s">
        <v>93</v>
      </c>
      <c r="F3" s="13" t="s">
        <v>93</v>
      </c>
      <c r="G3" s="13" t="s">
        <v>93</v>
      </c>
    </row>
    <row r="4" spans="2:7" x14ac:dyDescent="0.25">
      <c r="B4" s="13" t="s">
        <v>107</v>
      </c>
      <c r="C4" s="13" t="s">
        <v>68</v>
      </c>
      <c r="D4" s="14">
        <v>839.84621600000003</v>
      </c>
      <c r="E4" s="13" t="s">
        <v>93</v>
      </c>
      <c r="F4" s="13" t="s">
        <v>93</v>
      </c>
      <c r="G4" s="13" t="s">
        <v>93</v>
      </c>
    </row>
    <row r="5" spans="2:7" x14ac:dyDescent="0.25">
      <c r="B5" s="13" t="s">
        <v>108</v>
      </c>
      <c r="C5" s="13" t="s">
        <v>69</v>
      </c>
      <c r="D5" s="14">
        <v>13507.389593</v>
      </c>
      <c r="E5" s="15">
        <v>93.694638999999995</v>
      </c>
      <c r="F5" s="15">
        <v>11.552345000000001</v>
      </c>
      <c r="G5" s="13" t="s">
        <v>93</v>
      </c>
    </row>
    <row r="6" spans="2:7" x14ac:dyDescent="0.25">
      <c r="B6" s="13" t="s">
        <v>109</v>
      </c>
      <c r="C6" s="13" t="s">
        <v>70</v>
      </c>
      <c r="D6" s="14">
        <v>128.179484</v>
      </c>
      <c r="E6" s="13" t="s">
        <v>93</v>
      </c>
      <c r="F6" s="13" t="s">
        <v>93</v>
      </c>
      <c r="G6" s="13" t="s">
        <v>93</v>
      </c>
    </row>
    <row r="7" spans="2:7" x14ac:dyDescent="0.25">
      <c r="B7" s="13" t="s">
        <v>110</v>
      </c>
      <c r="C7" s="13" t="s">
        <v>71</v>
      </c>
      <c r="D7" s="14">
        <v>37.849077999999999</v>
      </c>
      <c r="E7" s="13" t="s">
        <v>93</v>
      </c>
      <c r="F7" s="13" t="s">
        <v>93</v>
      </c>
      <c r="G7" s="13" t="s">
        <v>93</v>
      </c>
    </row>
    <row r="8" spans="2:7" x14ac:dyDescent="0.25">
      <c r="B8" s="13" t="s">
        <v>60</v>
      </c>
      <c r="C8" s="13" t="s">
        <v>72</v>
      </c>
      <c r="D8" s="14">
        <v>815.23915599999998</v>
      </c>
      <c r="E8" s="13" t="s">
        <v>93</v>
      </c>
      <c r="F8" s="13" t="s">
        <v>93</v>
      </c>
      <c r="G8" s="15">
        <f>D8</f>
        <v>815.23915599999998</v>
      </c>
    </row>
    <row r="9" spans="2:7" x14ac:dyDescent="0.25">
      <c r="B9" s="13" t="s">
        <v>61</v>
      </c>
      <c r="C9" s="13" t="s">
        <v>73</v>
      </c>
      <c r="D9" s="14">
        <v>424.68497100000002</v>
      </c>
      <c r="E9" s="13" t="s">
        <v>93</v>
      </c>
      <c r="F9" s="13" t="s">
        <v>93</v>
      </c>
      <c r="G9" s="15">
        <f>D9</f>
        <v>424.68497100000002</v>
      </c>
    </row>
    <row r="10" spans="2:7" x14ac:dyDescent="0.25">
      <c r="B10" s="13" t="s">
        <v>111</v>
      </c>
      <c r="C10" s="13" t="s">
        <v>76</v>
      </c>
      <c r="D10" s="14">
        <v>15699.064366000001</v>
      </c>
      <c r="E10" s="15">
        <v>688.63521300000002</v>
      </c>
      <c r="F10" s="15">
        <v>105.182134</v>
      </c>
      <c r="G10" s="13" t="s">
        <v>93</v>
      </c>
    </row>
    <row r="11" spans="2:7" x14ac:dyDescent="0.25">
      <c r="B11" s="13" t="s">
        <v>112</v>
      </c>
      <c r="C11" s="13" t="s">
        <v>77</v>
      </c>
      <c r="D11" s="14">
        <v>12744.916415</v>
      </c>
      <c r="E11" s="15">
        <v>196.416494</v>
      </c>
      <c r="F11" s="15">
        <v>38.033262999999998</v>
      </c>
      <c r="G11" s="13" t="s">
        <v>93</v>
      </c>
    </row>
    <row r="12" spans="2:7" x14ac:dyDescent="0.25">
      <c r="B12" s="13" t="s">
        <v>62</v>
      </c>
      <c r="C12" s="13" t="s">
        <v>74</v>
      </c>
      <c r="D12" s="14">
        <v>945.92881399999999</v>
      </c>
      <c r="E12" s="14">
        <v>5.6485089999999998</v>
      </c>
      <c r="F12" s="14">
        <v>6.0239000000000003</v>
      </c>
      <c r="G12" s="15">
        <f>D12-E12-F12</f>
        <v>934.25640499999997</v>
      </c>
    </row>
    <row r="13" spans="2:7" x14ac:dyDescent="0.25">
      <c r="B13" s="13" t="s">
        <v>63</v>
      </c>
      <c r="C13" s="13" t="s">
        <v>78</v>
      </c>
      <c r="D13" s="14">
        <v>15741.262122</v>
      </c>
      <c r="E13" s="14">
        <v>6.9329980000000004</v>
      </c>
      <c r="F13" s="14">
        <v>3.4240520000000001</v>
      </c>
      <c r="G13" s="15">
        <f>D13-E13-F13</f>
        <v>15730.905072</v>
      </c>
    </row>
    <row r="14" spans="2:7" x14ac:dyDescent="0.25">
      <c r="B14" s="13" t="s">
        <v>64</v>
      </c>
      <c r="C14" s="13" t="s">
        <v>79</v>
      </c>
      <c r="D14" s="14">
        <v>1223.1070030000001</v>
      </c>
      <c r="E14" s="13" t="s">
        <v>93</v>
      </c>
      <c r="F14" s="13" t="s">
        <v>93</v>
      </c>
      <c r="G14" s="15">
        <f>D14</f>
        <v>1223.1070030000001</v>
      </c>
    </row>
    <row r="15" spans="2:7" x14ac:dyDescent="0.25">
      <c r="B15" s="13" t="s">
        <v>65</v>
      </c>
      <c r="C15" s="13" t="s">
        <v>80</v>
      </c>
      <c r="D15" s="14">
        <v>3149.7081800000001</v>
      </c>
      <c r="E15" s="13" t="s">
        <v>93</v>
      </c>
      <c r="F15" s="13" t="s">
        <v>93</v>
      </c>
      <c r="G15" s="15">
        <f>D15</f>
        <v>3149.7081800000001</v>
      </c>
    </row>
    <row r="16" spans="2:7" x14ac:dyDescent="0.25">
      <c r="B16" s="13" t="s">
        <v>66</v>
      </c>
      <c r="C16" s="13" t="s">
        <v>81</v>
      </c>
      <c r="D16" s="14">
        <v>36.795113000000001</v>
      </c>
      <c r="E16" s="13" t="s">
        <v>93</v>
      </c>
      <c r="F16" s="13" t="s">
        <v>93</v>
      </c>
      <c r="G16" s="15">
        <f>D16</f>
        <v>36.795113000000001</v>
      </c>
    </row>
    <row r="17" spans="2:7" x14ac:dyDescent="0.25">
      <c r="B17" s="13" t="s">
        <v>113</v>
      </c>
      <c r="C17" s="13" t="s">
        <v>82</v>
      </c>
      <c r="D17" s="14">
        <v>5.3510859999999996</v>
      </c>
      <c r="E17" s="13"/>
      <c r="F17" s="13" t="s">
        <v>93</v>
      </c>
      <c r="G17" s="13" t="s">
        <v>93</v>
      </c>
    </row>
    <row r="18" spans="2:7" x14ac:dyDescent="0.25">
      <c r="B18" s="13" t="s">
        <v>114</v>
      </c>
      <c r="C18" s="13" t="s">
        <v>75</v>
      </c>
      <c r="D18" s="14">
        <v>1627.208519</v>
      </c>
      <c r="E18" s="13">
        <v>1189.1937190000001</v>
      </c>
      <c r="F18" s="13">
        <v>0.919373</v>
      </c>
      <c r="G18" s="13" t="s">
        <v>93</v>
      </c>
    </row>
    <row r="19" spans="2:7" x14ac:dyDescent="0.25">
      <c r="B19" s="240" t="s">
        <v>98</v>
      </c>
      <c r="C19" s="240"/>
      <c r="D19" s="17">
        <f>SUM(D3:D18)</f>
        <v>100064.979334</v>
      </c>
      <c r="E19" s="16">
        <f>SUM(E3:E18)</f>
        <v>2180.5215720000001</v>
      </c>
      <c r="F19" s="16">
        <f>SUM(F3:F18)</f>
        <v>165.13506699999999</v>
      </c>
      <c r="G19" s="16">
        <f t="shared" ref="G19" si="0">SUM(G3:G18)</f>
        <v>22314.695900000002</v>
      </c>
    </row>
    <row r="20" spans="2:7" x14ac:dyDescent="0.25">
      <c r="D20" s="241" t="s">
        <v>99</v>
      </c>
      <c r="E20" s="241"/>
      <c r="F20" s="241"/>
      <c r="G20" s="123">
        <v>98022.673720999999</v>
      </c>
    </row>
    <row r="21" spans="2:7" x14ac:dyDescent="0.25">
      <c r="D21" s="241" t="s">
        <v>100</v>
      </c>
      <c r="E21" s="241"/>
      <c r="F21" s="241"/>
      <c r="G21" s="124">
        <f>G19/G20</f>
        <v>0.22764830883427931</v>
      </c>
    </row>
    <row r="22" spans="2:7" x14ac:dyDescent="0.25">
      <c r="B22" s="242" t="s">
        <v>479</v>
      </c>
      <c r="C22" s="242"/>
    </row>
    <row r="23" spans="2:7" ht="36" customHeight="1" x14ac:dyDescent="0.25">
      <c r="B23" s="242"/>
      <c r="C23" s="242"/>
    </row>
  </sheetData>
  <mergeCells count="4">
    <mergeCell ref="B19:C19"/>
    <mergeCell ref="D20:F20"/>
    <mergeCell ref="D21:F21"/>
    <mergeCell ref="B22:C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7E15-962F-492A-8C55-D05E80F3F6A7}">
  <dimension ref="A1:X7"/>
  <sheetViews>
    <sheetView topLeftCell="A5" workbookViewId="0">
      <selection activeCell="J7" sqref="J7"/>
    </sheetView>
  </sheetViews>
  <sheetFormatPr baseColWidth="10" defaultRowHeight="15" x14ac:dyDescent="0.25"/>
  <cols>
    <col min="3" max="3" width="18.140625" customWidth="1"/>
    <col min="4" max="4" width="29.42578125" customWidth="1"/>
    <col min="8" max="8" width="16.5703125" bestFit="1" customWidth="1"/>
  </cols>
  <sheetData>
    <row r="1" spans="1:24" x14ac:dyDescent="0.25">
      <c r="L1">
        <v>209</v>
      </c>
    </row>
    <row r="2" spans="1:24" ht="63" x14ac:dyDescent="0.25">
      <c r="A2" s="77"/>
      <c r="B2" s="78">
        <v>1</v>
      </c>
      <c r="C2" s="79" t="s">
        <v>436</v>
      </c>
      <c r="D2" s="80" t="s">
        <v>437</v>
      </c>
      <c r="E2" s="80"/>
      <c r="F2" s="80" t="s">
        <v>438</v>
      </c>
      <c r="G2" s="81" t="s">
        <v>439</v>
      </c>
      <c r="H2" s="81" t="s">
        <v>440</v>
      </c>
      <c r="I2" s="82">
        <v>47.49</v>
      </c>
      <c r="J2" s="83" t="s">
        <v>441</v>
      </c>
      <c r="K2" s="77"/>
      <c r="L2" s="77">
        <f>+[2]Hoja1!$E$31</f>
        <v>0</v>
      </c>
      <c r="M2" s="77"/>
      <c r="N2" s="77"/>
      <c r="O2" s="77"/>
      <c r="P2" s="77"/>
      <c r="Q2" s="77"/>
      <c r="R2" s="77"/>
      <c r="S2" s="77"/>
      <c r="T2" s="77"/>
      <c r="U2" s="77"/>
      <c r="V2" s="77"/>
      <c r="W2" s="77"/>
      <c r="X2" s="77"/>
    </row>
    <row r="3" spans="1:24" ht="94.5" x14ac:dyDescent="0.25">
      <c r="A3" s="77"/>
      <c r="B3" s="78">
        <v>3</v>
      </c>
      <c r="C3" s="79" t="s">
        <v>436</v>
      </c>
      <c r="D3" s="80" t="s">
        <v>442</v>
      </c>
      <c r="E3" s="86" t="s">
        <v>443</v>
      </c>
      <c r="F3" s="84" t="s">
        <v>438</v>
      </c>
      <c r="G3" s="81" t="s">
        <v>444</v>
      </c>
      <c r="H3" s="85" t="s">
        <v>445</v>
      </c>
      <c r="I3" s="82">
        <v>52.43</v>
      </c>
      <c r="J3" s="83"/>
      <c r="K3" s="77"/>
      <c r="L3" s="77"/>
      <c r="M3" s="77"/>
      <c r="N3" s="77"/>
      <c r="O3" s="77"/>
      <c r="P3" s="77"/>
      <c r="Q3" s="77"/>
      <c r="R3" s="77"/>
      <c r="S3" s="77"/>
      <c r="T3" s="77"/>
      <c r="U3" s="77"/>
      <c r="V3" s="77"/>
      <c r="W3" s="77"/>
      <c r="X3" s="77"/>
    </row>
    <row r="4" spans="1:24" ht="63" x14ac:dyDescent="0.25">
      <c r="A4" s="77"/>
      <c r="B4" s="78">
        <v>5</v>
      </c>
      <c r="C4" s="79" t="s">
        <v>436</v>
      </c>
      <c r="D4" s="87" t="s">
        <v>446</v>
      </c>
      <c r="E4" s="80" t="s">
        <v>443</v>
      </c>
      <c r="F4" s="84" t="s">
        <v>438</v>
      </c>
      <c r="G4" s="81" t="s">
        <v>447</v>
      </c>
      <c r="H4" s="85" t="s">
        <v>448</v>
      </c>
      <c r="I4" s="82">
        <v>45.78</v>
      </c>
      <c r="J4" s="83" t="s">
        <v>449</v>
      </c>
      <c r="K4" s="77"/>
      <c r="L4" s="77"/>
      <c r="M4" s="77"/>
      <c r="N4" s="77"/>
      <c r="O4" s="77"/>
      <c r="P4" s="77"/>
      <c r="Q4" s="77"/>
      <c r="R4" s="77"/>
      <c r="S4" s="77"/>
      <c r="T4" s="77"/>
      <c r="U4" s="77"/>
      <c r="V4" s="77"/>
      <c r="W4" s="77"/>
      <c r="X4" s="77"/>
    </row>
    <row r="5" spans="1:24" ht="409.5" x14ac:dyDescent="0.25">
      <c r="A5" s="88"/>
      <c r="B5" s="78">
        <v>8</v>
      </c>
      <c r="C5" s="79" t="s">
        <v>436</v>
      </c>
      <c r="D5" s="89" t="s">
        <v>450</v>
      </c>
      <c r="E5" s="90" t="s">
        <v>443</v>
      </c>
      <c r="F5" s="91" t="s">
        <v>451</v>
      </c>
      <c r="G5" s="79">
        <v>2012</v>
      </c>
      <c r="H5" s="92" t="s">
        <v>452</v>
      </c>
      <c r="I5" s="82">
        <v>10.039999999999999</v>
      </c>
      <c r="J5" s="93" t="s">
        <v>453</v>
      </c>
      <c r="K5" s="77"/>
      <c r="L5" s="77"/>
      <c r="M5" s="77"/>
      <c r="N5" s="77"/>
      <c r="O5" s="77"/>
      <c r="P5" s="77"/>
      <c r="Q5" s="77"/>
      <c r="R5" s="77"/>
      <c r="S5" s="77"/>
      <c r="T5" s="77"/>
      <c r="U5" s="77"/>
      <c r="V5" s="77"/>
      <c r="W5" s="77"/>
      <c r="X5" s="77"/>
    </row>
    <row r="6" spans="1:24" ht="31.5" x14ac:dyDescent="0.25">
      <c r="A6" s="77"/>
      <c r="B6" s="78">
        <v>10</v>
      </c>
      <c r="C6" s="79" t="s">
        <v>436</v>
      </c>
      <c r="D6" s="80" t="s">
        <v>454</v>
      </c>
      <c r="E6" s="80" t="s">
        <v>443</v>
      </c>
      <c r="F6" s="84" t="s">
        <v>438</v>
      </c>
      <c r="G6" s="81" t="s">
        <v>455</v>
      </c>
      <c r="H6" s="85" t="s">
        <v>456</v>
      </c>
      <c r="I6" s="82">
        <v>23.38</v>
      </c>
      <c r="J6" s="83"/>
      <c r="K6" s="77"/>
      <c r="L6" s="77"/>
      <c r="M6" s="77"/>
      <c r="N6" s="77"/>
      <c r="O6" s="77"/>
      <c r="P6" s="77"/>
      <c r="Q6" s="77"/>
      <c r="R6" s="77"/>
      <c r="S6" s="77"/>
      <c r="T6" s="77"/>
      <c r="U6" s="77"/>
      <c r="V6" s="77"/>
      <c r="W6" s="77"/>
      <c r="X6" s="77"/>
    </row>
    <row r="7" spans="1:24" ht="110.25" x14ac:dyDescent="0.25">
      <c r="A7" s="88"/>
      <c r="B7" s="78">
        <v>15</v>
      </c>
      <c r="C7" s="80" t="s">
        <v>436</v>
      </c>
      <c r="D7" s="94" t="s">
        <v>457</v>
      </c>
      <c r="E7" s="80" t="s">
        <v>443</v>
      </c>
      <c r="F7" s="95" t="s">
        <v>451</v>
      </c>
      <c r="G7" s="96" t="s">
        <v>458</v>
      </c>
      <c r="H7" s="97" t="s">
        <v>459</v>
      </c>
      <c r="I7" s="98">
        <v>4.46</v>
      </c>
      <c r="J7" s="99" t="s">
        <v>460</v>
      </c>
      <c r="K7" s="77"/>
      <c r="L7" s="77"/>
      <c r="M7" s="77"/>
      <c r="N7" s="77"/>
      <c r="O7" s="77"/>
      <c r="P7" s="77"/>
      <c r="Q7" s="77"/>
      <c r="R7" s="77"/>
      <c r="S7" s="77"/>
      <c r="T7" s="77"/>
      <c r="U7" s="77"/>
      <c r="V7" s="77"/>
      <c r="W7" s="77"/>
      <c r="X7" s="77"/>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2175-6689-42B8-9668-B03F46238862}">
  <sheetPr>
    <tabColor rgb="FF92D050"/>
  </sheetPr>
  <dimension ref="B1:H44"/>
  <sheetViews>
    <sheetView topLeftCell="A18" zoomScale="130" zoomScaleNormal="130" workbookViewId="0">
      <selection activeCell="D27" sqref="D27:E27"/>
    </sheetView>
  </sheetViews>
  <sheetFormatPr baseColWidth="10" defaultRowHeight="15" x14ac:dyDescent="0.25"/>
  <cols>
    <col min="1" max="1" width="7.140625" customWidth="1"/>
    <col min="2" max="2" width="30.140625" bestFit="1" customWidth="1"/>
    <col min="3" max="3" width="50.85546875" customWidth="1"/>
    <col min="4" max="5" width="12.7109375" customWidth="1"/>
    <col min="6" max="6" width="25" bestFit="1" customWidth="1"/>
    <col min="7" max="7" width="14.42578125" customWidth="1"/>
    <col min="8" max="8" width="20" customWidth="1"/>
  </cols>
  <sheetData>
    <row r="1" spans="2:5" ht="51.75" thickBot="1" x14ac:dyDescent="0.3">
      <c r="B1" s="24" t="s">
        <v>14</v>
      </c>
      <c r="C1" s="24" t="s">
        <v>7</v>
      </c>
      <c r="D1" s="24" t="s">
        <v>86</v>
      </c>
      <c r="E1" s="24" t="s">
        <v>87</v>
      </c>
    </row>
    <row r="2" spans="2:5" ht="102.75" thickBot="1" x14ac:dyDescent="0.3">
      <c r="B2" s="25" t="s">
        <v>0</v>
      </c>
      <c r="C2" s="25" t="s">
        <v>8</v>
      </c>
      <c r="D2" s="26">
        <v>11770.539167000001</v>
      </c>
      <c r="E2" s="26">
        <v>11770.539051</v>
      </c>
    </row>
    <row r="3" spans="2:5" ht="15.75" thickBot="1" x14ac:dyDescent="0.3">
      <c r="B3" s="25" t="s">
        <v>1</v>
      </c>
      <c r="C3" s="25" t="s">
        <v>9</v>
      </c>
      <c r="D3" s="26">
        <v>3029.2045859999998</v>
      </c>
      <c r="E3" s="26">
        <v>3029.2045870000002</v>
      </c>
    </row>
    <row r="4" spans="2:5" ht="15.75" thickBot="1" x14ac:dyDescent="0.3">
      <c r="B4" s="25" t="s">
        <v>2</v>
      </c>
      <c r="C4" s="25" t="s">
        <v>10</v>
      </c>
      <c r="D4" s="26">
        <v>125.574603</v>
      </c>
      <c r="E4" s="26">
        <v>125.574603</v>
      </c>
    </row>
    <row r="5" spans="2:5" ht="15.75" thickBot="1" x14ac:dyDescent="0.3">
      <c r="B5" s="25" t="s">
        <v>2</v>
      </c>
      <c r="C5" s="25" t="s">
        <v>10</v>
      </c>
      <c r="D5" s="26">
        <v>2529.1214300000001</v>
      </c>
      <c r="E5" s="26">
        <v>2529.1214140000002</v>
      </c>
    </row>
    <row r="6" spans="2:5" ht="15.75" thickBot="1" x14ac:dyDescent="0.3">
      <c r="B6" s="25" t="s">
        <v>3</v>
      </c>
      <c r="C6" s="25" t="s">
        <v>11</v>
      </c>
      <c r="D6" s="26">
        <v>18115.294092</v>
      </c>
      <c r="E6" s="26">
        <v>18115.294114</v>
      </c>
    </row>
    <row r="7" spans="2:5" ht="15.75" thickBot="1" x14ac:dyDescent="0.3">
      <c r="B7" s="25" t="s">
        <v>4</v>
      </c>
      <c r="C7" s="25" t="s">
        <v>12</v>
      </c>
      <c r="D7" s="26">
        <v>164.59064100000001</v>
      </c>
      <c r="E7" s="26">
        <v>164.59064100000001</v>
      </c>
    </row>
    <row r="8" spans="2:5" ht="15.75" thickBot="1" x14ac:dyDescent="0.3">
      <c r="B8" s="25" t="s">
        <v>5</v>
      </c>
      <c r="C8" s="25" t="s">
        <v>13</v>
      </c>
      <c r="D8" s="26">
        <v>52.908268999999997</v>
      </c>
      <c r="E8" s="26">
        <v>52.908268999999997</v>
      </c>
    </row>
    <row r="9" spans="2:5" ht="15.75" thickBot="1" x14ac:dyDescent="0.3">
      <c r="B9" s="25" t="s">
        <v>6</v>
      </c>
      <c r="C9" s="25" t="s">
        <v>13</v>
      </c>
      <c r="D9" s="26">
        <v>11.962686</v>
      </c>
      <c r="E9" s="26">
        <v>11.962686</v>
      </c>
    </row>
    <row r="10" spans="2:5" ht="39" thickBot="1" x14ac:dyDescent="0.3">
      <c r="B10" s="25" t="s">
        <v>51</v>
      </c>
      <c r="C10" s="25"/>
      <c r="D10" s="26">
        <v>110.71775600000001</v>
      </c>
      <c r="E10" s="26">
        <v>110.71775600000001</v>
      </c>
    </row>
    <row r="11" spans="2:5" ht="39" thickBot="1" x14ac:dyDescent="0.3">
      <c r="B11" s="25" t="s">
        <v>89</v>
      </c>
      <c r="C11" s="25"/>
      <c r="D11" s="26">
        <v>8361.1202939999985</v>
      </c>
      <c r="E11" s="26">
        <f>$F$38</f>
        <v>7859.3341630000004</v>
      </c>
    </row>
    <row r="12" spans="2:5" ht="15.75" thickBot="1" x14ac:dyDescent="0.3">
      <c r="B12" s="25" t="s">
        <v>92</v>
      </c>
      <c r="C12" s="25"/>
      <c r="D12" s="25">
        <v>124.522408</v>
      </c>
      <c r="E12" s="25">
        <v>124.522408</v>
      </c>
    </row>
    <row r="13" spans="2:5" ht="15.75" thickBot="1" x14ac:dyDescent="0.3">
      <c r="B13" s="201" t="s">
        <v>15</v>
      </c>
      <c r="C13" s="201"/>
      <c r="D13" s="26">
        <f>SUM(D2:D12)</f>
        <v>44395.555931999996</v>
      </c>
      <c r="E13" s="26">
        <f>SUM(E2:E12)</f>
        <v>43893.769691999994</v>
      </c>
    </row>
    <row r="14" spans="2:5" ht="15.75" thickBot="1" x14ac:dyDescent="0.3">
      <c r="B14" s="202" t="s">
        <v>16</v>
      </c>
      <c r="C14" s="202"/>
      <c r="D14" s="26">
        <v>100327.199116</v>
      </c>
      <c r="E14" s="26">
        <v>100368.33035400001</v>
      </c>
    </row>
    <row r="15" spans="2:5" ht="15.75" thickBot="1" x14ac:dyDescent="0.3">
      <c r="B15" s="203" t="s">
        <v>55</v>
      </c>
      <c r="C15" s="203"/>
      <c r="D15" s="27">
        <f>D13/D14</f>
        <v>0.44250767810899516</v>
      </c>
      <c r="E15" s="28">
        <f>E13/E14</f>
        <v>0.43732688924072238</v>
      </c>
    </row>
    <row r="18" spans="2:8" x14ac:dyDescent="0.25">
      <c r="B18" s="204" t="s">
        <v>83</v>
      </c>
      <c r="C18" s="205"/>
      <c r="D18" s="205"/>
      <c r="E18" s="205"/>
      <c r="F18" s="205"/>
      <c r="G18" s="206"/>
    </row>
    <row r="19" spans="2:8" ht="25.5" x14ac:dyDescent="0.25">
      <c r="B19" s="8" t="s">
        <v>26</v>
      </c>
      <c r="C19" s="8" t="s">
        <v>27</v>
      </c>
      <c r="D19" s="209" t="s">
        <v>52</v>
      </c>
      <c r="E19" s="210"/>
      <c r="F19" s="9" t="s">
        <v>53</v>
      </c>
      <c r="G19" s="9" t="s">
        <v>54</v>
      </c>
    </row>
    <row r="20" spans="2:8" x14ac:dyDescent="0.25">
      <c r="B20" s="1" t="s">
        <v>28</v>
      </c>
      <c r="C20" s="161" t="s">
        <v>37</v>
      </c>
      <c r="D20" s="211">
        <v>5.6539890000000002</v>
      </c>
      <c r="E20" s="212"/>
      <c r="F20" s="4">
        <v>0</v>
      </c>
      <c r="G20" s="4">
        <f>D20</f>
        <v>5.6539890000000002</v>
      </c>
      <c r="H20" s="160" t="s">
        <v>491</v>
      </c>
    </row>
    <row r="21" spans="2:8" x14ac:dyDescent="0.25">
      <c r="B21" s="1" t="s">
        <v>24</v>
      </c>
      <c r="C21" s="161" t="s">
        <v>38</v>
      </c>
      <c r="D21" s="211">
        <v>5.76586</v>
      </c>
      <c r="E21" s="212"/>
      <c r="F21" s="4">
        <v>0</v>
      </c>
      <c r="G21" s="4">
        <f>D21</f>
        <v>5.76586</v>
      </c>
      <c r="H21" s="160" t="s">
        <v>491</v>
      </c>
    </row>
    <row r="22" spans="2:8" x14ac:dyDescent="0.25">
      <c r="B22" s="1" t="s">
        <v>29</v>
      </c>
      <c r="C22" s="161" t="s">
        <v>39</v>
      </c>
      <c r="D22" s="211">
        <v>12.800414999999999</v>
      </c>
      <c r="E22" s="212"/>
      <c r="F22" s="4">
        <v>12.800411</v>
      </c>
      <c r="G22" s="4">
        <f>D22-F22</f>
        <v>3.999999998782755E-6</v>
      </c>
      <c r="H22" s="160" t="s">
        <v>491</v>
      </c>
    </row>
    <row r="23" spans="2:8" x14ac:dyDescent="0.25">
      <c r="B23" s="1" t="s">
        <v>30</v>
      </c>
      <c r="C23" s="161" t="s">
        <v>40</v>
      </c>
      <c r="D23" s="211">
        <v>20.128796999999999</v>
      </c>
      <c r="E23" s="212"/>
      <c r="F23" s="4">
        <v>4.4931710000000002</v>
      </c>
      <c r="G23" s="4">
        <f t="shared" ref="G23:G31" si="0">D23-F23</f>
        <v>15.635625999999998</v>
      </c>
      <c r="H23" s="160" t="s">
        <v>491</v>
      </c>
    </row>
    <row r="24" spans="2:8" x14ac:dyDescent="0.25">
      <c r="B24" s="1" t="s">
        <v>32</v>
      </c>
      <c r="C24" s="161" t="s">
        <v>42</v>
      </c>
      <c r="D24" s="211">
        <v>27.999786</v>
      </c>
      <c r="E24" s="212"/>
      <c r="F24" s="4">
        <v>27.999783999999998</v>
      </c>
      <c r="G24" s="4">
        <f t="shared" si="0"/>
        <v>2.0000000020559128E-6</v>
      </c>
      <c r="H24" s="160" t="s">
        <v>491</v>
      </c>
    </row>
    <row r="25" spans="2:8" x14ac:dyDescent="0.25">
      <c r="B25" s="1" t="s">
        <v>34</v>
      </c>
      <c r="C25" s="161" t="s">
        <v>44</v>
      </c>
      <c r="D25" s="211">
        <v>72.005054999999999</v>
      </c>
      <c r="E25" s="212"/>
      <c r="F25" s="4">
        <v>72.005054999999999</v>
      </c>
      <c r="G25" s="4">
        <f t="shared" si="0"/>
        <v>0</v>
      </c>
      <c r="H25" s="160" t="s">
        <v>491</v>
      </c>
    </row>
    <row r="26" spans="2:8" x14ac:dyDescent="0.25">
      <c r="B26" s="1" t="s">
        <v>22</v>
      </c>
      <c r="C26" s="161" t="s">
        <v>45</v>
      </c>
      <c r="D26" s="211">
        <v>73.886270999999994</v>
      </c>
      <c r="E26" s="212"/>
      <c r="F26" s="4">
        <v>73.396333999999996</v>
      </c>
      <c r="G26" s="4">
        <f t="shared" si="0"/>
        <v>0.48993699999999762</v>
      </c>
      <c r="H26" s="160" t="s">
        <v>491</v>
      </c>
    </row>
    <row r="27" spans="2:8" x14ac:dyDescent="0.25">
      <c r="B27" s="1" t="s">
        <v>25</v>
      </c>
      <c r="C27" s="161" t="s">
        <v>46</v>
      </c>
      <c r="D27" s="211">
        <v>116.988068</v>
      </c>
      <c r="E27" s="212"/>
      <c r="F27" s="4">
        <v>116.98807499999999</v>
      </c>
      <c r="G27" s="4">
        <f t="shared" si="0"/>
        <v>-6.9999999965375537E-6</v>
      </c>
      <c r="H27" s="160" t="s">
        <v>491</v>
      </c>
    </row>
    <row r="28" spans="2:8" x14ac:dyDescent="0.25">
      <c r="B28" s="1" t="s">
        <v>23</v>
      </c>
      <c r="C28" s="161" t="s">
        <v>47</v>
      </c>
      <c r="D28" s="211">
        <v>155.79027400000001</v>
      </c>
      <c r="E28" s="212"/>
      <c r="F28" s="4">
        <v>155.790278</v>
      </c>
      <c r="G28" s="4">
        <f t="shared" si="0"/>
        <v>-3.9999999899009708E-6</v>
      </c>
      <c r="H28" s="160" t="s">
        <v>491</v>
      </c>
    </row>
    <row r="29" spans="2:8" x14ac:dyDescent="0.25">
      <c r="B29" s="1" t="s">
        <v>35</v>
      </c>
      <c r="C29" s="161" t="s">
        <v>48</v>
      </c>
      <c r="D29" s="215">
        <v>211.46</v>
      </c>
      <c r="E29" s="216"/>
      <c r="F29" s="4">
        <v>241.156285</v>
      </c>
      <c r="G29" s="4">
        <f t="shared" si="0"/>
        <v>-29.696284999999989</v>
      </c>
      <c r="H29" s="160" t="s">
        <v>491</v>
      </c>
    </row>
    <row r="30" spans="2:8" x14ac:dyDescent="0.25">
      <c r="B30" s="1" t="s">
        <v>36</v>
      </c>
      <c r="C30" s="161" t="s">
        <v>49</v>
      </c>
      <c r="D30" s="215">
        <v>400.1</v>
      </c>
      <c r="E30" s="216"/>
      <c r="F30" s="4">
        <v>392.47378200000003</v>
      </c>
      <c r="G30" s="4">
        <f t="shared" si="0"/>
        <v>7.6262179999999944</v>
      </c>
      <c r="H30" s="160" t="s">
        <v>491</v>
      </c>
    </row>
    <row r="31" spans="2:8" x14ac:dyDescent="0.25">
      <c r="B31" s="207" t="s">
        <v>50</v>
      </c>
      <c r="C31" s="208"/>
      <c r="D31" s="215">
        <f>SUM(D20:D30)</f>
        <v>1102.5785150000002</v>
      </c>
      <c r="E31" s="216"/>
      <c r="F31" s="4">
        <f>SUM(F20:F30)</f>
        <v>1097.103175</v>
      </c>
      <c r="G31" s="4">
        <f t="shared" si="0"/>
        <v>5.4753400000001875</v>
      </c>
      <c r="H31" s="160" t="s">
        <v>491</v>
      </c>
    </row>
    <row r="32" spans="2:8" x14ac:dyDescent="0.25">
      <c r="B32" s="113"/>
      <c r="C32" s="114"/>
      <c r="D32" s="115"/>
      <c r="E32" s="116"/>
      <c r="F32" s="4"/>
      <c r="G32" s="4"/>
    </row>
    <row r="33" spans="2:8" s="158" customFormat="1" x14ac:dyDescent="0.25">
      <c r="B33" s="154" t="s">
        <v>31</v>
      </c>
      <c r="C33" s="154" t="s">
        <v>41</v>
      </c>
      <c r="D33" s="213">
        <v>23.997223999999999</v>
      </c>
      <c r="E33" s="214"/>
      <c r="F33" s="157">
        <v>0.54116500000000001</v>
      </c>
      <c r="G33" s="157">
        <f>D33-F33</f>
        <v>23.456059</v>
      </c>
      <c r="H33" s="158" t="s">
        <v>490</v>
      </c>
    </row>
    <row r="34" spans="2:8" s="158" customFormat="1" x14ac:dyDescent="0.25">
      <c r="B34" s="154" t="s">
        <v>33</v>
      </c>
      <c r="C34" s="154" t="s">
        <v>43</v>
      </c>
      <c r="D34" s="213">
        <v>58.235190000000003</v>
      </c>
      <c r="E34" s="214"/>
      <c r="F34" s="157">
        <v>0.58355500000000005</v>
      </c>
      <c r="G34" s="157">
        <f>D34-F34</f>
        <v>57.651635000000006</v>
      </c>
      <c r="H34" s="158" t="s">
        <v>490</v>
      </c>
    </row>
    <row r="35" spans="2:8" s="158" customFormat="1" x14ac:dyDescent="0.25">
      <c r="B35" s="154"/>
      <c r="C35" s="154"/>
      <c r="D35" s="155"/>
      <c r="E35" s="156"/>
      <c r="F35" s="157"/>
      <c r="G35" s="159"/>
    </row>
    <row r="36" spans="2:8" ht="51" customHeight="1" x14ac:dyDescent="0.25">
      <c r="B36" s="7" t="s">
        <v>85</v>
      </c>
      <c r="C36" s="7" t="s">
        <v>84</v>
      </c>
      <c r="D36" s="219" t="s">
        <v>53</v>
      </c>
      <c r="E36" s="219"/>
      <c r="F36" s="7" t="s">
        <v>54</v>
      </c>
    </row>
    <row r="37" spans="2:8" x14ac:dyDescent="0.25">
      <c r="B37" s="1" t="s">
        <v>90</v>
      </c>
      <c r="C37" s="1">
        <v>9151.5567809999993</v>
      </c>
      <c r="D37" s="217">
        <v>790.43648700000006</v>
      </c>
      <c r="E37" s="218"/>
      <c r="F37" s="1">
        <f>C37-D37</f>
        <v>8361.1202939999985</v>
      </c>
    </row>
    <row r="38" spans="2:8" x14ac:dyDescent="0.25">
      <c r="B38" s="1" t="s">
        <v>88</v>
      </c>
      <c r="C38" s="1">
        <v>8595.0827160000008</v>
      </c>
      <c r="D38" s="217">
        <v>735.74855300000002</v>
      </c>
      <c r="E38" s="218"/>
      <c r="F38" s="1">
        <f>C38-D38</f>
        <v>7859.3341630000004</v>
      </c>
    </row>
    <row r="39" spans="2:8" x14ac:dyDescent="0.25">
      <c r="B39" s="1" t="s">
        <v>91</v>
      </c>
      <c r="C39" s="1">
        <v>150.57064299999999</v>
      </c>
      <c r="D39" s="217">
        <v>124.522408</v>
      </c>
      <c r="E39" s="218"/>
      <c r="F39" s="1">
        <f>C39-D39</f>
        <v>26.048234999999991</v>
      </c>
    </row>
    <row r="40" spans="2:8" x14ac:dyDescent="0.25">
      <c r="B40" s="1" t="s">
        <v>92</v>
      </c>
      <c r="C40" s="1">
        <v>142.14866799999999</v>
      </c>
      <c r="D40" s="217">
        <v>124.522408</v>
      </c>
      <c r="E40" s="218"/>
      <c r="F40" s="1">
        <f>C40-D40</f>
        <v>17.626259999999988</v>
      </c>
    </row>
    <row r="44" spans="2:8" x14ac:dyDescent="0.25">
      <c r="B44" s="200" t="s">
        <v>253</v>
      </c>
      <c r="C44" s="200"/>
    </row>
  </sheetData>
  <mergeCells count="26">
    <mergeCell ref="D40:E40"/>
    <mergeCell ref="D36:E36"/>
    <mergeCell ref="D38:E38"/>
    <mergeCell ref="D37:E37"/>
    <mergeCell ref="D39:E39"/>
    <mergeCell ref="D27:E27"/>
    <mergeCell ref="D28:E28"/>
    <mergeCell ref="D29:E29"/>
    <mergeCell ref="D30:E30"/>
    <mergeCell ref="D31:E31"/>
    <mergeCell ref="B44:C44"/>
    <mergeCell ref="B13:C13"/>
    <mergeCell ref="B14:C14"/>
    <mergeCell ref="B15:C15"/>
    <mergeCell ref="B18:G18"/>
    <mergeCell ref="B31:C31"/>
    <mergeCell ref="D19:E19"/>
    <mergeCell ref="D20:E20"/>
    <mergeCell ref="D21:E21"/>
    <mergeCell ref="D22:E22"/>
    <mergeCell ref="D23:E23"/>
    <mergeCell ref="D33:E33"/>
    <mergeCell ref="D34:E34"/>
    <mergeCell ref="D24:E24"/>
    <mergeCell ref="D25:E25"/>
    <mergeCell ref="D26:E26"/>
  </mergeCells>
  <phoneticPr fontId="2"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7699E-8BAC-458E-AD1B-01C8DE4DB56B}">
  <dimension ref="B4:C12"/>
  <sheetViews>
    <sheetView workbookViewId="0">
      <selection activeCell="B12" sqref="B12:C12"/>
    </sheetView>
  </sheetViews>
  <sheetFormatPr baseColWidth="10" defaultRowHeight="15" x14ac:dyDescent="0.25"/>
  <cols>
    <col min="2" max="2" width="19.7109375" customWidth="1"/>
    <col min="3" max="3" width="22.140625" customWidth="1"/>
  </cols>
  <sheetData>
    <row r="4" spans="2:3" x14ac:dyDescent="0.25">
      <c r="B4" s="2" t="s">
        <v>250</v>
      </c>
      <c r="C4" s="2" t="s">
        <v>251</v>
      </c>
    </row>
    <row r="5" spans="2:3" x14ac:dyDescent="0.25">
      <c r="B5" s="1" t="s">
        <v>246</v>
      </c>
      <c r="C5" s="35">
        <v>3478.8507840000002</v>
      </c>
    </row>
    <row r="6" spans="2:3" x14ac:dyDescent="0.25">
      <c r="B6" s="1" t="s">
        <v>247</v>
      </c>
      <c r="C6" s="35">
        <v>8866.3268079999998</v>
      </c>
    </row>
    <row r="7" spans="2:3" x14ac:dyDescent="0.25">
      <c r="B7" s="1" t="s">
        <v>248</v>
      </c>
      <c r="C7" s="35">
        <v>836.45822699999997</v>
      </c>
    </row>
    <row r="8" spans="2:3" x14ac:dyDescent="0.25">
      <c r="B8" s="1" t="s">
        <v>249</v>
      </c>
      <c r="C8" s="35">
        <v>7173.7764340000003</v>
      </c>
    </row>
    <row r="9" spans="2:3" x14ac:dyDescent="0.25">
      <c r="B9" s="36" t="s">
        <v>50</v>
      </c>
      <c r="C9" s="37">
        <f>SUM(C5:C8)</f>
        <v>20355.412252999999</v>
      </c>
    </row>
    <row r="10" spans="2:3" x14ac:dyDescent="0.25">
      <c r="B10" s="34"/>
      <c r="C10" s="34"/>
    </row>
    <row r="11" spans="2:3" x14ac:dyDescent="0.25">
      <c r="B11" s="34"/>
      <c r="C11" s="34"/>
    </row>
    <row r="12" spans="2:3" x14ac:dyDescent="0.25">
      <c r="B12" s="217" t="s">
        <v>252</v>
      </c>
      <c r="C12" s="218"/>
    </row>
  </sheetData>
  <mergeCells count="1">
    <mergeCell ref="B12: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9DCF0-6E0E-4233-85AC-651007161342}">
  <dimension ref="A1:F18"/>
  <sheetViews>
    <sheetView topLeftCell="A3" workbookViewId="0">
      <selection activeCell="C3" sqref="C3"/>
    </sheetView>
  </sheetViews>
  <sheetFormatPr baseColWidth="10" defaultRowHeight="15" x14ac:dyDescent="0.25"/>
  <cols>
    <col min="1" max="1" width="25.85546875" customWidth="1"/>
    <col min="2" max="2" width="37.7109375" customWidth="1"/>
    <col min="3" max="3" width="19" customWidth="1"/>
    <col min="4" max="4" width="44.42578125" customWidth="1"/>
    <col min="5" max="5" width="34.7109375" customWidth="1"/>
  </cols>
  <sheetData>
    <row r="1" spans="1:6" ht="25.5" x14ac:dyDescent="0.25">
      <c r="A1" s="2" t="s">
        <v>14</v>
      </c>
      <c r="B1" s="2" t="s">
        <v>7</v>
      </c>
      <c r="C1" s="2" t="s">
        <v>86</v>
      </c>
      <c r="D1" s="2" t="s">
        <v>87</v>
      </c>
      <c r="E1" s="3" t="s">
        <v>18</v>
      </c>
      <c r="F1" s="3" t="s">
        <v>17</v>
      </c>
    </row>
    <row r="2" spans="1:6" ht="142.5" customHeight="1" x14ac:dyDescent="0.25">
      <c r="A2" s="1" t="s">
        <v>0</v>
      </c>
      <c r="B2" s="1" t="s">
        <v>8</v>
      </c>
      <c r="C2" s="3">
        <v>11770.539167000001</v>
      </c>
      <c r="D2" s="3">
        <v>11770.539051</v>
      </c>
      <c r="E2" s="3" t="s">
        <v>19</v>
      </c>
      <c r="F2" s="3">
        <f>D2</f>
        <v>11770.539051</v>
      </c>
    </row>
    <row r="3" spans="1:6" ht="133.9" customHeight="1" x14ac:dyDescent="0.25">
      <c r="A3" s="1" t="s">
        <v>1</v>
      </c>
      <c r="B3" s="1" t="s">
        <v>9</v>
      </c>
      <c r="C3" s="3">
        <v>3029.2045859999998</v>
      </c>
      <c r="D3" s="3">
        <v>3029.2045870000002</v>
      </c>
      <c r="E3" s="3" t="s">
        <v>20</v>
      </c>
      <c r="F3" s="3">
        <v>0</v>
      </c>
    </row>
    <row r="4" spans="1:6" ht="25.5" x14ac:dyDescent="0.25">
      <c r="A4" s="1" t="s">
        <v>2</v>
      </c>
      <c r="B4" s="1" t="s">
        <v>10</v>
      </c>
      <c r="C4" s="3">
        <v>125.574603</v>
      </c>
      <c r="D4" s="3">
        <v>125.574603</v>
      </c>
      <c r="E4" s="3" t="s">
        <v>21</v>
      </c>
      <c r="F4" s="3">
        <v>0</v>
      </c>
    </row>
    <row r="5" spans="1:6" ht="25.5" x14ac:dyDescent="0.25">
      <c r="A5" s="1" t="s">
        <v>2</v>
      </c>
      <c r="B5" s="1" t="s">
        <v>10</v>
      </c>
      <c r="C5" s="3">
        <v>2529.1214300000001</v>
      </c>
      <c r="D5" s="3">
        <v>2529.1214140000002</v>
      </c>
      <c r="E5" s="3" t="s">
        <v>21</v>
      </c>
      <c r="F5" s="3">
        <v>0</v>
      </c>
    </row>
    <row r="6" spans="1:6" x14ac:dyDescent="0.25">
      <c r="A6" s="1" t="s">
        <v>3</v>
      </c>
      <c r="B6" s="1" t="s">
        <v>11</v>
      </c>
      <c r="C6" s="3">
        <v>18115.294092</v>
      </c>
      <c r="D6" s="3">
        <v>18115.294114</v>
      </c>
      <c r="E6" s="3" t="s">
        <v>21</v>
      </c>
      <c r="F6" s="3">
        <v>0</v>
      </c>
    </row>
    <row r="7" spans="1:6" ht="25.5" x14ac:dyDescent="0.25">
      <c r="A7" s="1" t="s">
        <v>4</v>
      </c>
      <c r="B7" s="1" t="s">
        <v>12</v>
      </c>
      <c r="C7" s="3">
        <v>164.59064100000001</v>
      </c>
      <c r="D7" s="3">
        <v>164.59064100000001</v>
      </c>
      <c r="E7" s="3" t="s">
        <v>21</v>
      </c>
      <c r="F7" s="3">
        <v>0</v>
      </c>
    </row>
    <row r="8" spans="1:6" x14ac:dyDescent="0.25">
      <c r="A8" s="1" t="s">
        <v>5</v>
      </c>
      <c r="B8" s="1" t="s">
        <v>13</v>
      </c>
      <c r="C8" s="3">
        <v>52.908268999999997</v>
      </c>
      <c r="D8" s="3">
        <v>52.908268999999997</v>
      </c>
      <c r="E8" s="3">
        <v>52.908268999999997</v>
      </c>
      <c r="F8" s="3">
        <f>E8</f>
        <v>52.908268999999997</v>
      </c>
    </row>
    <row r="9" spans="1:6" x14ac:dyDescent="0.25">
      <c r="A9" s="1" t="s">
        <v>6</v>
      </c>
      <c r="B9" s="1" t="s">
        <v>13</v>
      </c>
      <c r="C9" s="3">
        <v>11.962686</v>
      </c>
      <c r="D9" s="3">
        <v>11.962686</v>
      </c>
      <c r="E9" s="3"/>
      <c r="F9" s="3">
        <v>0</v>
      </c>
    </row>
    <row r="10" spans="1:6" ht="51" x14ac:dyDescent="0.25">
      <c r="A10" s="5" t="s">
        <v>51</v>
      </c>
      <c r="B10" s="6"/>
      <c r="C10" s="18">
        <v>110.71775600000001</v>
      </c>
      <c r="D10" s="18">
        <v>110.71775600000001</v>
      </c>
      <c r="E10" s="3"/>
      <c r="F10" s="3">
        <v>0</v>
      </c>
    </row>
    <row r="11" spans="1:6" ht="38.25" x14ac:dyDescent="0.25">
      <c r="A11" s="1" t="s">
        <v>89</v>
      </c>
      <c r="B11" s="6"/>
      <c r="C11" s="3">
        <v>8361.1202939999985</v>
      </c>
      <c r="D11" s="3">
        <f>$F$37</f>
        <v>0</v>
      </c>
      <c r="E11" s="3"/>
      <c r="F11" s="3">
        <v>0</v>
      </c>
    </row>
    <row r="12" spans="1:6" ht="25.5" x14ac:dyDescent="0.25">
      <c r="A12" s="1" t="s">
        <v>92</v>
      </c>
      <c r="B12" s="6"/>
      <c r="C12" s="5">
        <v>124.522408</v>
      </c>
      <c r="D12" s="5">
        <v>124.522408</v>
      </c>
      <c r="E12" s="3"/>
      <c r="F12" s="3">
        <v>0</v>
      </c>
    </row>
    <row r="13" spans="1:6" x14ac:dyDescent="0.25">
      <c r="A13" s="220" t="s">
        <v>194</v>
      </c>
      <c r="B13" s="220"/>
      <c r="C13" s="19">
        <f>SUM(C2:C12)</f>
        <v>44395.555931999996</v>
      </c>
      <c r="D13" s="19">
        <f>SUM(D2:D12)</f>
        <v>36034.435528999995</v>
      </c>
      <c r="E13" s="21" t="s">
        <v>56</v>
      </c>
      <c r="F13" s="22">
        <f>SUM(F2:F12)</f>
        <v>11823.447319999999</v>
      </c>
    </row>
    <row r="14" spans="1:6" x14ac:dyDescent="0.25">
      <c r="A14" s="221" t="s">
        <v>16</v>
      </c>
      <c r="B14" s="221"/>
      <c r="C14" s="19">
        <v>100327.199116</v>
      </c>
      <c r="D14" s="19">
        <v>100368.33035400001</v>
      </c>
      <c r="E14" s="21" t="s">
        <v>57</v>
      </c>
      <c r="F14" s="22">
        <f>$D$13</f>
        <v>36034.435528999995</v>
      </c>
    </row>
    <row r="15" spans="1:6" ht="15" customHeight="1" x14ac:dyDescent="0.25">
      <c r="A15" s="222"/>
      <c r="B15" s="223"/>
      <c r="C15" s="20"/>
      <c r="D15" s="20"/>
      <c r="E15" s="21" t="s">
        <v>58</v>
      </c>
      <c r="F15" s="23">
        <f>F13/F14</f>
        <v>0.32811523606314463</v>
      </c>
    </row>
    <row r="18" spans="1:2" x14ac:dyDescent="0.25">
      <c r="A18" s="200" t="s">
        <v>253</v>
      </c>
      <c r="B18" s="200"/>
    </row>
  </sheetData>
  <mergeCells count="4">
    <mergeCell ref="A13:B13"/>
    <mergeCell ref="A14:B14"/>
    <mergeCell ref="A15:B15"/>
    <mergeCell ref="A18:B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FD0EC-0527-4437-A269-301818CCC85E}">
  <sheetPr>
    <tabColor rgb="FF92D050"/>
  </sheetPr>
  <dimension ref="B2:F16"/>
  <sheetViews>
    <sheetView workbookViewId="0">
      <selection activeCell="D19" sqref="D19"/>
    </sheetView>
  </sheetViews>
  <sheetFormatPr baseColWidth="10" defaultRowHeight="15" x14ac:dyDescent="0.25"/>
  <cols>
    <col min="2" max="2" width="43" customWidth="1"/>
    <col min="3" max="3" width="15.7109375" customWidth="1"/>
    <col min="4" max="4" width="14.140625" customWidth="1"/>
  </cols>
  <sheetData>
    <row r="2" spans="2:6" x14ac:dyDescent="0.25">
      <c r="B2" t="s">
        <v>119</v>
      </c>
    </row>
    <row r="5" spans="2:6" ht="45" x14ac:dyDescent="0.25">
      <c r="B5" s="54" t="s">
        <v>333</v>
      </c>
      <c r="C5" s="54" t="s">
        <v>335</v>
      </c>
      <c r="D5" s="55" t="s">
        <v>339</v>
      </c>
      <c r="E5" s="55" t="s">
        <v>338</v>
      </c>
    </row>
    <row r="6" spans="2:6" ht="30" x14ac:dyDescent="0.25">
      <c r="B6" s="52" t="s">
        <v>334</v>
      </c>
      <c r="C6" s="52" t="s">
        <v>336</v>
      </c>
      <c r="D6" s="48">
        <v>1118</v>
      </c>
    </row>
    <row r="8" spans="2:6" x14ac:dyDescent="0.25">
      <c r="B8" s="224" t="s">
        <v>337</v>
      </c>
      <c r="C8" s="224"/>
      <c r="F8" s="53"/>
    </row>
    <row r="14" spans="2:6" ht="45" x14ac:dyDescent="0.25">
      <c r="B14" s="55" t="s">
        <v>508</v>
      </c>
      <c r="C14" s="55" t="s">
        <v>338</v>
      </c>
    </row>
    <row r="15" spans="2:6" ht="121.5" customHeight="1" x14ac:dyDescent="0.25">
      <c r="B15" s="253" t="s">
        <v>509</v>
      </c>
      <c r="C15" s="254">
        <f>46+8+80+152+145</f>
        <v>431</v>
      </c>
    </row>
    <row r="16" spans="2:6" x14ac:dyDescent="0.25">
      <c r="C16" s="30" t="s">
        <v>510</v>
      </c>
      <c r="D16" s="249">
        <f>+C15/D6</f>
        <v>0.38550983899821112</v>
      </c>
    </row>
  </sheetData>
  <mergeCells count="1">
    <mergeCell ref="B8:C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3105D-030B-4F76-834A-2A9AEF0F8C7C}">
  <sheetPr>
    <tabColor rgb="FF92D050"/>
  </sheetPr>
  <dimension ref="B1:M21"/>
  <sheetViews>
    <sheetView workbookViewId="0">
      <selection activeCell="C19" sqref="C19"/>
    </sheetView>
  </sheetViews>
  <sheetFormatPr baseColWidth="10" defaultRowHeight="14.25" x14ac:dyDescent="0.2"/>
  <cols>
    <col min="1" max="1" width="14.7109375" style="29" customWidth="1"/>
    <col min="2" max="2" width="25.85546875" style="29" customWidth="1"/>
    <col min="3" max="3" width="19.85546875" style="29" customWidth="1"/>
    <col min="4" max="4" width="18.28515625" style="29" customWidth="1"/>
    <col min="5" max="5" width="19" style="29" customWidth="1"/>
    <col min="6" max="16384" width="11.42578125" style="29"/>
  </cols>
  <sheetData>
    <row r="1" spans="2:13" ht="45" x14ac:dyDescent="0.2">
      <c r="B1" s="131" t="s">
        <v>196</v>
      </c>
      <c r="C1" s="132" t="s">
        <v>197</v>
      </c>
      <c r="D1" s="133"/>
      <c r="E1" s="133"/>
      <c r="F1" s="134"/>
    </row>
    <row r="2" spans="2:13" ht="60" x14ac:dyDescent="0.2">
      <c r="B2" s="143">
        <v>1</v>
      </c>
      <c r="C2" s="144">
        <v>100</v>
      </c>
      <c r="E2" s="135" t="s">
        <v>305</v>
      </c>
      <c r="F2" s="135" t="s">
        <v>306</v>
      </c>
      <c r="G2" s="136" t="s">
        <v>307</v>
      </c>
      <c r="H2" s="135" t="s">
        <v>308</v>
      </c>
      <c r="I2" s="135" t="s">
        <v>309</v>
      </c>
      <c r="J2" s="137" t="s">
        <v>310</v>
      </c>
      <c r="K2" s="135" t="s">
        <v>311</v>
      </c>
      <c r="L2" s="135" t="s">
        <v>312</v>
      </c>
      <c r="M2" s="137" t="s">
        <v>313</v>
      </c>
    </row>
    <row r="3" spans="2:13" x14ac:dyDescent="0.2">
      <c r="B3" s="143">
        <v>2</v>
      </c>
      <c r="C3" s="144">
        <v>100</v>
      </c>
      <c r="E3" s="138" t="s">
        <v>314</v>
      </c>
      <c r="F3" s="138" t="s">
        <v>315</v>
      </c>
      <c r="G3" s="139">
        <v>3085</v>
      </c>
      <c r="H3" s="140">
        <v>1263</v>
      </c>
      <c r="I3" s="140">
        <v>7937</v>
      </c>
      <c r="J3" s="141">
        <v>103070</v>
      </c>
      <c r="K3" s="142">
        <v>136533.7697014955</v>
      </c>
      <c r="L3" s="142">
        <v>124735.68018318673</v>
      </c>
      <c r="M3" s="142">
        <v>358206</v>
      </c>
    </row>
    <row r="4" spans="2:13" x14ac:dyDescent="0.2">
      <c r="B4" s="143">
        <v>3</v>
      </c>
      <c r="C4" s="144">
        <v>100</v>
      </c>
    </row>
    <row r="5" spans="2:13" x14ac:dyDescent="0.2">
      <c r="B5" s="143">
        <v>4</v>
      </c>
      <c r="C5" s="144">
        <v>100</v>
      </c>
    </row>
    <row r="6" spans="2:13" x14ac:dyDescent="0.2">
      <c r="B6" s="143">
        <v>5</v>
      </c>
      <c r="C6" s="144">
        <v>100</v>
      </c>
    </row>
    <row r="7" spans="2:13" x14ac:dyDescent="0.2">
      <c r="B7" s="143">
        <v>6</v>
      </c>
      <c r="C7" s="144">
        <v>100</v>
      </c>
    </row>
    <row r="8" spans="2:13" x14ac:dyDescent="0.2">
      <c r="B8" s="143">
        <v>7</v>
      </c>
      <c r="C8" s="144">
        <v>100</v>
      </c>
    </row>
    <row r="9" spans="2:13" x14ac:dyDescent="0.2">
      <c r="B9" s="143">
        <v>8</v>
      </c>
      <c r="C9" s="144">
        <v>99.27</v>
      </c>
    </row>
    <row r="10" spans="2:13" x14ac:dyDescent="0.2">
      <c r="B10" s="143">
        <v>9</v>
      </c>
      <c r="C10" s="144">
        <v>89</v>
      </c>
    </row>
    <row r="11" spans="2:13" x14ac:dyDescent="0.2">
      <c r="B11" s="143">
        <v>10</v>
      </c>
      <c r="C11" s="144">
        <v>98.84</v>
      </c>
    </row>
    <row r="12" spans="2:13" x14ac:dyDescent="0.2">
      <c r="B12" s="143">
        <v>11</v>
      </c>
      <c r="C12" s="144">
        <v>97.54</v>
      </c>
    </row>
    <row r="13" spans="2:13" x14ac:dyDescent="0.2">
      <c r="B13" s="143">
        <v>12</v>
      </c>
      <c r="C13" s="144">
        <v>99.75</v>
      </c>
    </row>
    <row r="14" spans="2:13" x14ac:dyDescent="0.2">
      <c r="B14" s="143">
        <v>13</v>
      </c>
      <c r="C14" s="144">
        <v>99.12</v>
      </c>
    </row>
    <row r="15" spans="2:13" x14ac:dyDescent="0.2">
      <c r="B15" s="143">
        <v>14</v>
      </c>
      <c r="C15" s="144">
        <v>97</v>
      </c>
    </row>
    <row r="16" spans="2:13" x14ac:dyDescent="0.2">
      <c r="B16" s="143">
        <v>15</v>
      </c>
      <c r="C16" s="144">
        <v>87</v>
      </c>
    </row>
    <row r="17" spans="2:4" x14ac:dyDescent="0.2">
      <c r="B17" s="143">
        <v>16</v>
      </c>
      <c r="C17" s="144">
        <v>98.89</v>
      </c>
    </row>
    <row r="18" spans="2:4" x14ac:dyDescent="0.2">
      <c r="B18" s="143" t="s">
        <v>50</v>
      </c>
      <c r="C18" s="145">
        <f>SUM(C2:C17)</f>
        <v>1566.41</v>
      </c>
    </row>
    <row r="19" spans="2:4" x14ac:dyDescent="0.2">
      <c r="B19" s="143" t="s">
        <v>199</v>
      </c>
      <c r="C19" s="145">
        <f>C18/16</f>
        <v>97.900625000000005</v>
      </c>
    </row>
    <row r="20" spans="2:4" ht="61.5" customHeight="1" x14ac:dyDescent="0.2">
      <c r="B20" s="225" t="s">
        <v>483</v>
      </c>
      <c r="C20" s="225"/>
      <c r="D20" s="32"/>
    </row>
    <row r="21" spans="2:4" x14ac:dyDescent="0.2">
      <c r="B21" s="225"/>
      <c r="C21" s="225"/>
      <c r="D21" s="32"/>
    </row>
  </sheetData>
  <mergeCells count="1">
    <mergeCell ref="B20:C2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36D58-108A-4A7B-8D6A-93ACD069B52D}">
  <sheetPr>
    <tabColor rgb="FF92D050"/>
  </sheetPr>
  <dimension ref="B2:E22"/>
  <sheetViews>
    <sheetView workbookViewId="0">
      <selection activeCell="C20" sqref="C20"/>
    </sheetView>
  </sheetViews>
  <sheetFormatPr baseColWidth="10" defaultRowHeight="15" x14ac:dyDescent="0.25"/>
  <cols>
    <col min="2" max="2" width="29.28515625" customWidth="1"/>
    <col min="3" max="3" width="22.140625" customWidth="1"/>
  </cols>
  <sheetData>
    <row r="2" spans="2:5" ht="33" x14ac:dyDescent="0.25">
      <c r="B2" s="54" t="s">
        <v>196</v>
      </c>
      <c r="C2" s="127" t="s">
        <v>197</v>
      </c>
      <c r="E2" s="31"/>
    </row>
    <row r="3" spans="2:5" x14ac:dyDescent="0.25">
      <c r="B3" s="33">
        <v>1</v>
      </c>
      <c r="C3" s="128">
        <v>100</v>
      </c>
      <c r="E3" s="29"/>
    </row>
    <row r="4" spans="2:5" x14ac:dyDescent="0.25">
      <c r="B4" s="33">
        <v>2</v>
      </c>
      <c r="C4" s="128">
        <v>100</v>
      </c>
      <c r="E4" s="29"/>
    </row>
    <row r="5" spans="2:5" x14ac:dyDescent="0.25">
      <c r="B5" s="33">
        <v>3</v>
      </c>
      <c r="C5" s="128">
        <v>100</v>
      </c>
      <c r="E5" s="29"/>
    </row>
    <row r="6" spans="2:5" x14ac:dyDescent="0.25">
      <c r="B6" s="33">
        <v>4</v>
      </c>
      <c r="C6" s="128">
        <v>100</v>
      </c>
      <c r="E6" s="29"/>
    </row>
    <row r="7" spans="2:5" x14ac:dyDescent="0.25">
      <c r="B7" s="33">
        <v>5</v>
      </c>
      <c r="C7" s="128">
        <v>100</v>
      </c>
      <c r="E7" s="29"/>
    </row>
    <row r="8" spans="2:5" x14ac:dyDescent="0.25">
      <c r="B8" s="33">
        <v>6</v>
      </c>
      <c r="C8" s="128">
        <v>100</v>
      </c>
      <c r="E8" s="29"/>
    </row>
    <row r="9" spans="2:5" x14ac:dyDescent="0.25">
      <c r="B9" s="33">
        <v>7</v>
      </c>
      <c r="C9" s="128">
        <v>100</v>
      </c>
      <c r="E9" s="29"/>
    </row>
    <row r="10" spans="2:5" x14ac:dyDescent="0.25">
      <c r="B10" s="33">
        <v>8</v>
      </c>
      <c r="C10" s="128">
        <v>99.27</v>
      </c>
    </row>
    <row r="11" spans="2:5" x14ac:dyDescent="0.25">
      <c r="B11" s="33">
        <v>9</v>
      </c>
      <c r="C11" s="128">
        <v>89</v>
      </c>
    </row>
    <row r="12" spans="2:5" x14ac:dyDescent="0.25">
      <c r="B12" s="33">
        <v>10</v>
      </c>
      <c r="C12" s="128">
        <v>98.84</v>
      </c>
    </row>
    <row r="13" spans="2:5" x14ac:dyDescent="0.25">
      <c r="B13" s="33">
        <v>11</v>
      </c>
      <c r="C13" s="128">
        <v>97.54</v>
      </c>
    </row>
    <row r="14" spans="2:5" x14ac:dyDescent="0.25">
      <c r="B14" s="33">
        <v>12</v>
      </c>
      <c r="C14" s="128">
        <v>99.75</v>
      </c>
    </row>
    <row r="15" spans="2:5" x14ac:dyDescent="0.25">
      <c r="B15" s="33">
        <v>13</v>
      </c>
      <c r="C15" s="128">
        <v>99.12</v>
      </c>
    </row>
    <row r="16" spans="2:5" x14ac:dyDescent="0.25">
      <c r="B16" s="33">
        <v>14</v>
      </c>
      <c r="C16" s="128">
        <v>97</v>
      </c>
    </row>
    <row r="17" spans="2:5" x14ac:dyDescent="0.25">
      <c r="B17" s="33">
        <v>15</v>
      </c>
      <c r="C17" s="128">
        <v>87</v>
      </c>
    </row>
    <row r="18" spans="2:5" x14ac:dyDescent="0.25">
      <c r="B18" s="130">
        <v>16</v>
      </c>
      <c r="C18" s="128">
        <v>98.89</v>
      </c>
    </row>
    <row r="19" spans="2:5" x14ac:dyDescent="0.25">
      <c r="B19" s="29" t="s">
        <v>50</v>
      </c>
      <c r="C19" s="29">
        <f>SUM(C3:C18)</f>
        <v>1566.41</v>
      </c>
    </row>
    <row r="20" spans="2:5" x14ac:dyDescent="0.25">
      <c r="B20" s="29" t="s">
        <v>200</v>
      </c>
      <c r="C20" s="29">
        <f>C19/B18</f>
        <v>97.900625000000005</v>
      </c>
    </row>
    <row r="21" spans="2:5" ht="48" customHeight="1" x14ac:dyDescent="0.25">
      <c r="B21" s="225" t="s">
        <v>483</v>
      </c>
      <c r="C21" s="225"/>
      <c r="D21" s="32"/>
      <c r="E21" s="32"/>
    </row>
    <row r="22" spans="2:5" x14ac:dyDescent="0.25">
      <c r="B22" s="225"/>
      <c r="C22" s="225"/>
    </row>
  </sheetData>
  <mergeCells count="1">
    <mergeCell ref="B21:C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7FF0A-FE0E-4A52-A930-C64E4B963BBC}">
  <sheetPr>
    <tabColor rgb="FF92D050"/>
  </sheetPr>
  <dimension ref="B2:E22"/>
  <sheetViews>
    <sheetView topLeftCell="A9" zoomScale="192" workbookViewId="0">
      <selection activeCell="B21" sqref="B21:C22"/>
    </sheetView>
  </sheetViews>
  <sheetFormatPr baseColWidth="10" defaultRowHeight="15" x14ac:dyDescent="0.25"/>
  <cols>
    <col min="2" max="2" width="22.28515625" customWidth="1"/>
    <col min="3" max="3" width="27.85546875" customWidth="1"/>
  </cols>
  <sheetData>
    <row r="2" spans="2:4" ht="16.5" x14ac:dyDescent="0.25">
      <c r="B2" s="54" t="s">
        <v>196</v>
      </c>
      <c r="C2" s="129" t="s">
        <v>198</v>
      </c>
      <c r="D2" s="31"/>
    </row>
    <row r="3" spans="2:4" x14ac:dyDescent="0.25">
      <c r="B3" s="121">
        <v>1</v>
      </c>
      <c r="C3" s="128">
        <v>100</v>
      </c>
      <c r="D3" s="29"/>
    </row>
    <row r="4" spans="2:4" x14ac:dyDescent="0.25">
      <c r="B4" s="121">
        <v>2</v>
      </c>
      <c r="C4" s="128">
        <v>100</v>
      </c>
      <c r="D4" s="29"/>
    </row>
    <row r="5" spans="2:4" x14ac:dyDescent="0.25">
      <c r="B5" s="121">
        <v>3</v>
      </c>
      <c r="C5" s="128">
        <v>100</v>
      </c>
      <c r="D5" s="29"/>
    </row>
    <row r="6" spans="2:4" x14ac:dyDescent="0.25">
      <c r="B6" s="121">
        <v>4</v>
      </c>
      <c r="C6" s="128">
        <v>100</v>
      </c>
      <c r="D6" s="29"/>
    </row>
    <row r="7" spans="2:4" x14ac:dyDescent="0.25">
      <c r="B7" s="121">
        <v>5</v>
      </c>
      <c r="C7" s="128">
        <v>100</v>
      </c>
      <c r="D7" s="29"/>
    </row>
    <row r="8" spans="2:4" x14ac:dyDescent="0.25">
      <c r="B8" s="121">
        <v>6</v>
      </c>
      <c r="C8" s="128">
        <v>100</v>
      </c>
      <c r="D8" s="29"/>
    </row>
    <row r="9" spans="2:4" x14ac:dyDescent="0.25">
      <c r="B9" s="121">
        <v>7</v>
      </c>
      <c r="C9" s="128">
        <v>100</v>
      </c>
      <c r="D9" s="29"/>
    </row>
    <row r="10" spans="2:4" x14ac:dyDescent="0.25">
      <c r="B10" s="121">
        <v>8</v>
      </c>
      <c r="C10" s="33">
        <v>98.44</v>
      </c>
    </row>
    <row r="11" spans="2:4" x14ac:dyDescent="0.25">
      <c r="B11" s="121">
        <v>9</v>
      </c>
      <c r="C11" s="33">
        <v>98.52</v>
      </c>
    </row>
    <row r="12" spans="2:4" x14ac:dyDescent="0.25">
      <c r="B12" s="121">
        <v>10</v>
      </c>
      <c r="C12" s="33">
        <v>95.25</v>
      </c>
    </row>
    <row r="13" spans="2:4" x14ac:dyDescent="0.25">
      <c r="B13" s="121">
        <v>11</v>
      </c>
      <c r="C13" s="33">
        <v>95.67</v>
      </c>
    </row>
    <row r="14" spans="2:4" x14ac:dyDescent="0.25">
      <c r="B14" s="121">
        <v>12</v>
      </c>
      <c r="C14" s="33">
        <v>96.81</v>
      </c>
    </row>
    <row r="15" spans="2:4" x14ac:dyDescent="0.25">
      <c r="B15" s="121">
        <v>13</v>
      </c>
      <c r="C15" s="33">
        <v>97.54</v>
      </c>
    </row>
    <row r="16" spans="2:4" x14ac:dyDescent="0.25">
      <c r="B16" s="121">
        <v>14</v>
      </c>
      <c r="C16" s="33">
        <v>67.569999999999993</v>
      </c>
    </row>
    <row r="17" spans="2:5" x14ac:dyDescent="0.25">
      <c r="B17" s="121">
        <v>15</v>
      </c>
      <c r="C17" s="33">
        <v>68.52</v>
      </c>
    </row>
    <row r="18" spans="2:5" x14ac:dyDescent="0.25">
      <c r="B18" s="121">
        <v>16</v>
      </c>
      <c r="C18" s="33">
        <v>93</v>
      </c>
    </row>
    <row r="19" spans="2:5" x14ac:dyDescent="0.25">
      <c r="B19" s="30" t="s">
        <v>50</v>
      </c>
      <c r="C19">
        <f>SUM(C3:C18)</f>
        <v>1511.32</v>
      </c>
    </row>
    <row r="20" spans="2:5" x14ac:dyDescent="0.25">
      <c r="B20" t="s">
        <v>201</v>
      </c>
      <c r="C20">
        <f>C19/B18</f>
        <v>94.457499999999996</v>
      </c>
    </row>
    <row r="21" spans="2:5" ht="15" customHeight="1" x14ac:dyDescent="0.25">
      <c r="B21" s="225" t="s">
        <v>483</v>
      </c>
      <c r="C21" s="225"/>
      <c r="D21" s="32"/>
      <c r="E21" s="32"/>
    </row>
    <row r="22" spans="2:5" ht="53.25" customHeight="1" x14ac:dyDescent="0.25">
      <c r="B22" s="225"/>
      <c r="C22" s="225"/>
    </row>
  </sheetData>
  <mergeCells count="1">
    <mergeCell ref="B21:C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INDICADORES DE MODELO</vt:lpstr>
      <vt:lpstr>Hoja3</vt:lpstr>
      <vt:lpstr>1.PAAPM </vt:lpstr>
      <vt:lpstr>2.PARCP</vt:lpstr>
      <vt:lpstr>3.PSPM</vt:lpstr>
      <vt:lpstr>4.PVRM</vt:lpstr>
      <vt:lpstr>5.CRA</vt:lpstr>
      <vt:lpstr>6.CRAT</vt:lpstr>
      <vt:lpstr>8.CRAC</vt:lpstr>
      <vt:lpstr>14.IEPE</vt:lpstr>
      <vt:lpstr>15.DCTV</vt:lpstr>
      <vt:lpstr>16.CSE</vt:lpstr>
      <vt:lpstr>17. PASV</vt:lpstr>
      <vt:lpstr>21.PHPM</vt:lpstr>
      <vt:lpstr>37.PSRTU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Moreno Torres</dc:creator>
  <cp:lastModifiedBy>Miguel Vargas</cp:lastModifiedBy>
  <dcterms:created xsi:type="dcterms:W3CDTF">2021-07-27T00:41:19Z</dcterms:created>
  <dcterms:modified xsi:type="dcterms:W3CDTF">2022-12-26T19:37:24Z</dcterms:modified>
</cp:coreProperties>
</file>